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'ВРАЧИ'!$A$1:$J$45</definedName>
    <definedName name="_xlnm.Print_Area" localSheetId="2">'ММП'!$A$1:$J$44</definedName>
    <definedName name="_xlnm.Print_Area" localSheetId="4">'Пед.раб'!$A$1:$J$35</definedName>
    <definedName name="_xlnm.Print_Area" localSheetId="1">'СМП'!$A$1:$J$45</definedName>
    <definedName name="_xlnm.Print_Area" localSheetId="3">'Соц.раб'!$A$1:$J$48</definedName>
  </definedNames>
  <calcPr fullCalcOnLoad="1"/>
</workbook>
</file>

<file path=xl/sharedStrings.xml><?xml version="1.0" encoding="utf-8"?>
<sst xmlns="http://schemas.openxmlformats.org/spreadsheetml/2006/main" count="315" uniqueCount="100">
  <si>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</si>
  <si>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</si>
  <si>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</si>
  <si>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</si>
  <si>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</si>
  <si>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</si>
  <si>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</si>
  <si>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</si>
  <si>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</si>
  <si>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</si>
  <si>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</si>
  <si>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</si>
  <si>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</si>
  <si>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</si>
  <si>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</si>
  <si>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</si>
  <si>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</si>
  <si>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</si>
  <si>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</si>
  <si>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</si>
  <si>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</si>
  <si>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</si>
  <si>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</si>
  <si>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</si>
  <si>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</si>
  <si>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</si>
  <si>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</si>
  <si>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</si>
  <si>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</si>
  <si>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</si>
  <si>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</si>
  <si>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</si>
  <si>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</si>
  <si>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</si>
  <si>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</si>
  <si>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</si>
  <si>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</si>
  <si>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</si>
  <si>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</si>
  <si>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</si>
  <si>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</si>
  <si>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</si>
  <si>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</si>
  <si>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</si>
  <si>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</si>
  <si>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</si>
  <si>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</si>
  <si>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</si>
  <si>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</si>
  <si>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</si>
  <si>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</si>
  <si>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</si>
  <si>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</si>
  <si>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</si>
  <si>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</si>
  <si>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</si>
  <si>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</si>
  <si>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</si>
  <si>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</si>
  <si>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</si>
  <si>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</si>
  <si>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</si>
  <si>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</si>
  <si>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</si>
  <si>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</si>
  <si>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</si>
  <si>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</si>
  <si>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</si>
  <si>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</si>
  <si>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</si>
  <si>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</si>
  <si>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</si>
  <si>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</si>
  <si>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</si>
  <si>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</si>
  <si>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ГАНПОУ ЛО «МЦ СиТИ»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</si>
  <si>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</si>
  <si>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</si>
  <si>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</si>
  <si>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</si>
  <si>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</si>
  <si>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</si>
  <si>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</si>
  <si>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</si>
  <si>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</si>
  <si>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</si>
  <si>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</si>
  <si>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врачи</t>
  </si>
  <si>
    <t>смп</t>
  </si>
  <si>
    <t>ммп</t>
  </si>
  <si>
    <t>соц.раб.</t>
  </si>
  <si>
    <t>пед.раб.</t>
  </si>
  <si>
    <t>итого</t>
  </si>
  <si>
    <t>ожидаемое 2023 года</t>
  </si>
  <si>
    <t>разница</t>
  </si>
  <si>
    <t>11 месяцев 2023 года с начислениями</t>
  </si>
  <si>
    <t>факт за 2022 год с начислениями</t>
  </si>
  <si>
    <t>декабрь 2022 года с начислениями (90%)</t>
  </si>
  <si>
    <t>ВСЕГО по отраслевому показателю</t>
  </si>
  <si>
    <t>СОЦ, РАБОТНИКИ КОМИТЕТА ПО ЗДРАВООХРАНЕНИЮ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</si>
</sst>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47" borderId="13" applyNumberFormat="0" applyAlignment="0" applyProtection="0"/>
    <xf numFmtId="0" fontId="13" fillId="48" borderId="14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4" fontId="50" fillId="0" borderId="0" xfId="114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50" fillId="55" borderId="0" xfId="114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176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8" fillId="0" borderId="19" xfId="114" applyNumberFormat="1" applyFont="1" applyFill="1" applyBorder="1" applyAlignment="1">
      <alignment horizontal="center" vertical="center" wrapText="1"/>
    </xf>
    <xf numFmtId="4" fontId="28" fillId="0" borderId="19" xfId="107" applyNumberFormat="1" applyFont="1" applyFill="1" applyBorder="1" applyAlignment="1">
      <alignment horizontal="center" vertic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  <xf numFmtId="4" fontId="23" fillId="0" borderId="19" xfId="114" applyNumberFormat="1" applyFont="1" applyFill="1" applyBorder="1" applyAlignment="1">
      <alignment horizontal="center" vertical="center" wrapText="1"/>
    </xf>
    <xf numFmtId="4" fontId="23" fillId="0" borderId="19" xfId="107" applyNumberFormat="1" applyFont="1" applyFill="1" applyBorder="1" applyAlignment="1">
      <alignment horizontal="center" vertical="center" wrapText="1"/>
    </xf>
    <xf numFmtId="4" fontId="21" fillId="0" borderId="19" xfId="10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0" fontId="50" fillId="0" borderId="0" xfId="0" applyNumberFormat="1" applyFont="1" applyFill="1" applyAlignment="1">
      <alignment vertical="center" wrapText="1"/>
    </xf>
    <xf numFmtId="4" fontId="50" fillId="0" borderId="0" xfId="0" applyNumberFormat="1" applyFont="1" applyFill="1" applyAlignment="1">
      <alignment vertical="center" wrapText="1"/>
    </xf>
    <xf numFmtId="0" fontId="51" fillId="55" borderId="0" xfId="0" applyNumberFormat="1" applyFont="1" applyFill="1" applyAlignment="1">
      <alignment vertical="center" wrapText="1"/>
    </xf>
    <xf numFmtId="4" fontId="51" fillId="55" borderId="0" xfId="0" applyNumberFormat="1" applyFont="1" applyFill="1" applyAlignment="1">
      <alignment vertical="center" wrapText="1"/>
    </xf>
    <xf numFmtId="4" fontId="27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55" borderId="0" xfId="0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horizontal="left" vertical="center" wrapText="1"/>
    </xf>
    <xf numFmtId="4" fontId="23" fillId="12" borderId="19" xfId="0" applyNumberFormat="1" applyFont="1" applyFill="1" applyBorder="1" applyAlignment="1">
      <alignment horizontal="center" vertical="center" wrapText="1"/>
    </xf>
    <xf numFmtId="4" fontId="23" fillId="12" borderId="19" xfId="114" applyNumberFormat="1" applyFont="1" applyFill="1" applyBorder="1" applyAlignment="1">
      <alignment horizontal="center" vertical="center" wrapText="1"/>
    </xf>
    <xf numFmtId="0" fontId="23" fillId="56" borderId="23" xfId="0" applyNumberFormat="1" applyFont="1" applyFill="1" applyBorder="1" applyAlignment="1">
      <alignment horizontal="center" vertical="center" wrapText="1"/>
    </xf>
    <xf numFmtId="4" fontId="23" fillId="56" borderId="24" xfId="0" applyNumberFormat="1" applyFont="1" applyFill="1" applyBorder="1" applyAlignment="1">
      <alignment horizontal="center" vertical="center" wrapText="1"/>
    </xf>
    <xf numFmtId="4" fontId="23" fillId="56" borderId="24" xfId="114" applyNumberFormat="1" applyFont="1" applyFill="1" applyBorder="1" applyAlignment="1">
      <alignment horizontal="center" vertical="center" wrapText="1"/>
    </xf>
    <xf numFmtId="4" fontId="23" fillId="56" borderId="24" xfId="107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22" fillId="56" borderId="0" xfId="0" applyNumberFormat="1" applyFont="1" applyFill="1" applyAlignment="1">
      <alignment horizontal="center" vertical="center" wrapText="1"/>
    </xf>
    <xf numFmtId="4" fontId="22" fillId="56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1">
      <pane ySplit="3" topLeftCell="A38" activePane="bottomLeft" state="frozen"/>
      <selection pane="topLeft" activeCell="A1" sqref="A1"/>
      <selection pane="bottomLeft" activeCell="L45" sqref="L45"/>
    </sheetView>
  </sheetViews>
  <sheetFormatPr defaultColWidth="9.140625" defaultRowHeight="15"/>
  <cols>
    <col min="1" max="1" width="32.421875" style="34" customWidth="1"/>
    <col min="2" max="2" width="20.140625" style="36" customWidth="1"/>
    <col min="3" max="3" width="17.8515625" style="53" customWidth="1"/>
    <col min="4" max="4" width="17.00390625" style="36" customWidth="1"/>
    <col min="5" max="5" width="13.00390625" style="36" customWidth="1"/>
    <col min="6" max="6" width="19.421875" style="51" customWidth="1"/>
    <col min="7" max="7" width="13.421875" style="36" customWidth="1"/>
    <col min="8" max="8" width="13.140625" style="36" customWidth="1"/>
    <col min="9" max="9" width="18.28125" style="36" customWidth="1"/>
    <col min="10" max="10" width="15.00390625" style="36" customWidth="1"/>
    <col min="11" max="16384" width="9.140625" style="38" customWidth="1"/>
  </cols>
  <sheetData>
    <row r="1" spans="1:11" ht="22.5" customHeight="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37" t="s">
        <v>63</v>
      </c>
      <c r="K1" s="37">
        <f>VLOOKUP(month,месяцы!$A$1:$B$12,2,FALSE)</f>
        <v>11</v>
      </c>
    </row>
    <row r="2" spans="1:10" ht="19.5" customHeight="1">
      <c r="A2" s="12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8"/>
      <c r="C2" s="128"/>
      <c r="D2" s="128"/>
      <c r="E2" s="128"/>
      <c r="F2" s="128"/>
      <c r="G2" s="39"/>
      <c r="H2" s="40"/>
      <c r="I2" s="41">
        <v>50400</v>
      </c>
      <c r="J2" s="37">
        <v>2023</v>
      </c>
    </row>
    <row r="3" spans="1:10" ht="98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(ноябрь)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</row>
    <row r="4" spans="1:11" ht="21" customHeight="1">
      <c r="A4" s="69" t="s">
        <v>2</v>
      </c>
      <c r="B4" s="79">
        <v>3.5</v>
      </c>
      <c r="C4" s="80">
        <v>3.5</v>
      </c>
      <c r="D4" s="81">
        <f>_xlfn.IFERROR(G4/B4*1000,0)</f>
        <v>92514.28571428564</v>
      </c>
      <c r="E4" s="81">
        <f>_xlfn.IFERROR(I4/C4/$K$1*1000,0)</f>
        <v>98394.8051948052</v>
      </c>
      <c r="F4" s="82">
        <f>_xlfn.IFERROR(E4/$I$2*100,0)</f>
        <v>195.22778808493095</v>
      </c>
      <c r="G4" s="80">
        <v>323.7999999999997</v>
      </c>
      <c r="H4" s="80">
        <v>0</v>
      </c>
      <c r="I4" s="83">
        <v>3788.2</v>
      </c>
      <c r="J4" s="83"/>
      <c r="K4" s="43"/>
    </row>
    <row r="5" spans="1:11" ht="21" customHeight="1">
      <c r="A5" s="69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83"/>
      <c r="K5" s="43"/>
    </row>
    <row r="6" spans="1:11" ht="21" customHeight="1">
      <c r="A6" s="69" t="s">
        <v>4</v>
      </c>
      <c r="B6" s="79">
        <v>1.4800000000000004</v>
      </c>
      <c r="C6" s="80">
        <v>1.08</v>
      </c>
      <c r="D6" s="81">
        <f t="shared" si="0"/>
        <v>102162.16216216216</v>
      </c>
      <c r="E6" s="81">
        <f t="shared" si="1"/>
        <v>100875.42087542087</v>
      </c>
      <c r="F6" s="82">
        <f t="shared" si="2"/>
        <v>200.14964459408904</v>
      </c>
      <c r="G6" s="80">
        <v>151.20000000000005</v>
      </c>
      <c r="H6" s="80">
        <v>0</v>
      </c>
      <c r="I6" s="83">
        <v>1198.4</v>
      </c>
      <c r="J6" s="83"/>
      <c r="K6" s="43"/>
    </row>
    <row r="7" spans="1:11" ht="21" customHeight="1">
      <c r="A7" s="69" t="s">
        <v>6</v>
      </c>
      <c r="B7" s="79">
        <v>2</v>
      </c>
      <c r="C7" s="80">
        <v>2</v>
      </c>
      <c r="D7" s="81">
        <f t="shared" si="0"/>
        <v>128250.00000000012</v>
      </c>
      <c r="E7" s="81">
        <f t="shared" si="1"/>
        <v>101604.54545454546</v>
      </c>
      <c r="F7" s="82">
        <f t="shared" si="2"/>
        <v>201.59632034632034</v>
      </c>
      <c r="G7" s="80">
        <v>256.5000000000002</v>
      </c>
      <c r="H7" s="80">
        <v>0</v>
      </c>
      <c r="I7" s="83">
        <v>2235.3</v>
      </c>
      <c r="J7" s="83"/>
      <c r="K7" s="43"/>
    </row>
    <row r="8" spans="1:11" ht="16.5">
      <c r="A8" s="69" t="s">
        <v>7</v>
      </c>
      <c r="B8" s="83">
        <v>0.9994999999999994</v>
      </c>
      <c r="C8" s="80">
        <v>0.9545</v>
      </c>
      <c r="D8" s="81">
        <f t="shared" si="0"/>
        <v>100850.42521260632</v>
      </c>
      <c r="E8" s="81">
        <f t="shared" si="1"/>
        <v>116548.4070670032</v>
      </c>
      <c r="F8" s="82">
        <f t="shared" si="2"/>
        <v>231.24683941865715</v>
      </c>
      <c r="G8" s="80">
        <v>100.79999999999995</v>
      </c>
      <c r="H8" s="80">
        <v>6.5</v>
      </c>
      <c r="I8" s="83">
        <v>1223.7</v>
      </c>
      <c r="J8" s="83">
        <v>43.4</v>
      </c>
      <c r="K8" s="43"/>
    </row>
    <row r="9" spans="1:11" s="44" customFormat="1" ht="16.5">
      <c r="A9" s="69" t="s">
        <v>8</v>
      </c>
      <c r="B9" s="83">
        <v>5.9979999999999976</v>
      </c>
      <c r="C9" s="80">
        <v>5.918</v>
      </c>
      <c r="D9" s="81">
        <f t="shared" si="0"/>
        <v>100833.61120373465</v>
      </c>
      <c r="E9" s="81">
        <f t="shared" si="1"/>
        <v>100648.25340256229</v>
      </c>
      <c r="F9" s="82">
        <f t="shared" si="2"/>
        <v>199.69891548127438</v>
      </c>
      <c r="G9" s="80">
        <v>604.8000000000002</v>
      </c>
      <c r="H9" s="80">
        <v>0</v>
      </c>
      <c r="I9" s="83">
        <v>6552</v>
      </c>
      <c r="J9" s="83"/>
      <c r="K9" s="43"/>
    </row>
    <row r="10" spans="1:11" ht="16.5">
      <c r="A10" s="69" t="s">
        <v>9</v>
      </c>
      <c r="B10" s="83">
        <v>1</v>
      </c>
      <c r="C10" s="80">
        <v>1</v>
      </c>
      <c r="D10" s="81">
        <f t="shared" si="0"/>
        <v>69299.99999999996</v>
      </c>
      <c r="E10" s="81">
        <f t="shared" si="1"/>
        <v>96727.27272727274</v>
      </c>
      <c r="F10" s="82">
        <f t="shared" si="2"/>
        <v>191.91919191919195</v>
      </c>
      <c r="G10" s="80">
        <v>69.29999999999995</v>
      </c>
      <c r="H10" s="80">
        <v>3</v>
      </c>
      <c r="I10" s="83">
        <v>1064</v>
      </c>
      <c r="J10" s="83">
        <v>26.8</v>
      </c>
      <c r="K10" s="43"/>
    </row>
    <row r="11" spans="1:11" ht="17.25" customHeight="1">
      <c r="A11" s="69" t="s">
        <v>10</v>
      </c>
      <c r="B11" s="83">
        <v>0.9989999999999988</v>
      </c>
      <c r="C11" s="80">
        <v>0.869</v>
      </c>
      <c r="D11" s="81">
        <f t="shared" si="0"/>
        <v>80080.08008008018</v>
      </c>
      <c r="E11" s="81">
        <f t="shared" si="1"/>
        <v>98545.8729992677</v>
      </c>
      <c r="F11" s="82">
        <f t="shared" si="2"/>
        <v>195.52752579219782</v>
      </c>
      <c r="G11" s="80">
        <v>80</v>
      </c>
      <c r="H11" s="80">
        <v>0</v>
      </c>
      <c r="I11" s="83">
        <v>942</v>
      </c>
      <c r="J11" s="83"/>
      <c r="K11" s="43"/>
    </row>
    <row r="12" spans="1:11" s="44" customFormat="1" ht="16.5">
      <c r="A12" s="70" t="s">
        <v>11</v>
      </c>
      <c r="B12" s="84">
        <v>1.5</v>
      </c>
      <c r="C12" s="80">
        <v>1.5</v>
      </c>
      <c r="D12" s="81">
        <f t="shared" si="0"/>
        <v>91866.66666666663</v>
      </c>
      <c r="E12" s="81">
        <f t="shared" si="1"/>
        <v>98860.60606060606</v>
      </c>
      <c r="F12" s="82">
        <f t="shared" si="2"/>
        <v>196.15199615199617</v>
      </c>
      <c r="G12" s="80">
        <v>137.79999999999995</v>
      </c>
      <c r="H12" s="80">
        <v>0</v>
      </c>
      <c r="I12" s="83">
        <v>1631.2</v>
      </c>
      <c r="J12" s="83"/>
      <c r="K12" s="43"/>
    </row>
    <row r="13" spans="1:11" s="45" customFormat="1" ht="16.5">
      <c r="A13" s="69" t="s">
        <v>12</v>
      </c>
      <c r="B13" s="83">
        <v>4.5</v>
      </c>
      <c r="C13" s="80">
        <v>4.5</v>
      </c>
      <c r="D13" s="81">
        <f t="shared" si="0"/>
        <v>98155.5555555555</v>
      </c>
      <c r="E13" s="81">
        <f t="shared" si="1"/>
        <v>100105.0505050505</v>
      </c>
      <c r="F13" s="82">
        <f t="shared" si="2"/>
        <v>198.62113195446528</v>
      </c>
      <c r="G13" s="80">
        <v>441.6999999999998</v>
      </c>
      <c r="H13" s="80">
        <v>0</v>
      </c>
      <c r="I13" s="83">
        <v>4955.2</v>
      </c>
      <c r="J13" s="83">
        <v>133.8</v>
      </c>
      <c r="K13" s="43"/>
    </row>
    <row r="14" spans="1:11" s="44" customFormat="1" ht="37.5" customHeight="1">
      <c r="A14" s="70" t="s">
        <v>13</v>
      </c>
      <c r="B14" s="84">
        <v>3.9989999999999952</v>
      </c>
      <c r="C14" s="80">
        <v>3.909</v>
      </c>
      <c r="D14" s="81">
        <f>_xlfn.IFERROR(G14/B14*1000,0)</f>
        <v>100950.23755938992</v>
      </c>
      <c r="E14" s="81">
        <f t="shared" si="1"/>
        <v>100813.97241796322</v>
      </c>
      <c r="F14" s="82">
        <f t="shared" si="2"/>
        <v>200.0277230515143</v>
      </c>
      <c r="G14" s="80">
        <v>403.6999999999998</v>
      </c>
      <c r="H14" s="80">
        <v>0</v>
      </c>
      <c r="I14" s="83">
        <v>4334.9</v>
      </c>
      <c r="J14" s="83"/>
      <c r="K14" s="43"/>
    </row>
    <row r="15" spans="1:11" s="44" customFormat="1" ht="16.5">
      <c r="A15" s="69" t="s">
        <v>14</v>
      </c>
      <c r="B15" s="83">
        <v>2</v>
      </c>
      <c r="C15" s="80">
        <v>2</v>
      </c>
      <c r="D15" s="81">
        <f t="shared" si="0"/>
        <v>98700.00000000004</v>
      </c>
      <c r="E15" s="81">
        <f t="shared" si="1"/>
        <v>98318.18181818181</v>
      </c>
      <c r="F15" s="82">
        <f t="shared" si="2"/>
        <v>195.07575757575754</v>
      </c>
      <c r="G15" s="80">
        <v>197.4000000000001</v>
      </c>
      <c r="H15" s="80">
        <v>0</v>
      </c>
      <c r="I15" s="83">
        <v>2163</v>
      </c>
      <c r="J15" s="83"/>
      <c r="K15" s="43"/>
    </row>
    <row r="16" spans="1:11" s="44" customFormat="1" ht="16.5">
      <c r="A16" s="71" t="s">
        <v>65</v>
      </c>
      <c r="B16" s="83">
        <v>5.400000000000006</v>
      </c>
      <c r="C16" s="80">
        <v>4.4</v>
      </c>
      <c r="D16" s="81">
        <f t="shared" si="0"/>
        <v>100814.8148148148</v>
      </c>
      <c r="E16" s="81">
        <f t="shared" si="1"/>
        <v>100801.65289256198</v>
      </c>
      <c r="F16" s="82">
        <f t="shared" si="2"/>
        <v>200.0032795487341</v>
      </c>
      <c r="G16" s="80">
        <v>544.4000000000005</v>
      </c>
      <c r="H16" s="80">
        <v>0</v>
      </c>
      <c r="I16" s="83">
        <v>4878.8</v>
      </c>
      <c r="J16" s="83"/>
      <c r="K16" s="43"/>
    </row>
    <row r="17" spans="1:11" s="44" customFormat="1" ht="16.5">
      <c r="A17" s="69" t="s">
        <v>66</v>
      </c>
      <c r="B17" s="83">
        <v>0.9969999999999999</v>
      </c>
      <c r="C17" s="80">
        <v>0.727</v>
      </c>
      <c r="D17" s="81">
        <f t="shared" si="0"/>
        <v>100802.40722166501</v>
      </c>
      <c r="E17" s="81">
        <f t="shared" si="1"/>
        <v>100800.3001125422</v>
      </c>
      <c r="F17" s="82">
        <f t="shared" si="2"/>
        <v>200.00059546139326</v>
      </c>
      <c r="G17" s="80">
        <v>100.5</v>
      </c>
      <c r="H17" s="80">
        <v>3.2</v>
      </c>
      <c r="I17" s="83">
        <v>806.1</v>
      </c>
      <c r="J17" s="83">
        <v>3.2</v>
      </c>
      <c r="K17" s="43"/>
    </row>
    <row r="18" spans="1:11" ht="16.5">
      <c r="A18" s="69" t="s">
        <v>16</v>
      </c>
      <c r="B18" s="83">
        <v>0.75</v>
      </c>
      <c r="C18" s="80">
        <v>0.75</v>
      </c>
      <c r="D18" s="81">
        <f t="shared" si="0"/>
        <v>100800.00000000003</v>
      </c>
      <c r="E18" s="81">
        <f t="shared" si="1"/>
        <v>100800</v>
      </c>
      <c r="F18" s="82">
        <f t="shared" si="2"/>
        <v>200</v>
      </c>
      <c r="G18" s="80">
        <v>75.60000000000002</v>
      </c>
      <c r="H18" s="80">
        <v>0</v>
      </c>
      <c r="I18" s="83">
        <v>831.6</v>
      </c>
      <c r="J18" s="83"/>
      <c r="K18" s="43"/>
    </row>
    <row r="19" spans="1:11" ht="16.5">
      <c r="A19" s="69" t="s">
        <v>17</v>
      </c>
      <c r="B19" s="83">
        <v>0</v>
      </c>
      <c r="C19" s="80"/>
      <c r="D19" s="81">
        <f t="shared" si="0"/>
        <v>0</v>
      </c>
      <c r="E19" s="81">
        <f t="shared" si="1"/>
        <v>0</v>
      </c>
      <c r="F19" s="82">
        <f t="shared" si="2"/>
        <v>0</v>
      </c>
      <c r="G19" s="80">
        <v>0</v>
      </c>
      <c r="H19" s="80">
        <v>0</v>
      </c>
      <c r="I19" s="83"/>
      <c r="J19" s="83"/>
      <c r="K19" s="43"/>
    </row>
    <row r="20" spans="1:11" ht="16.5">
      <c r="A20" s="72" t="s">
        <v>67</v>
      </c>
      <c r="B20" s="85">
        <v>0</v>
      </c>
      <c r="C20" s="86"/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85"/>
      <c r="K20" s="43"/>
    </row>
    <row r="21" spans="1:11" s="56" customFormat="1" ht="16.5">
      <c r="A21" s="73" t="s">
        <v>45</v>
      </c>
      <c r="B21" s="92">
        <f>SUM(B4:B20)</f>
        <v>35.122499999999995</v>
      </c>
      <c r="C21" s="92">
        <f>SUM(C4:C20)</f>
        <v>33.107499999999995</v>
      </c>
      <c r="D21" s="92">
        <f>_xlfn.IFERROR(G21/B21*1000,0)</f>
        <v>99295.32351057016</v>
      </c>
      <c r="E21" s="92">
        <f>_xlfn.IFERROR(I21/C21/$K$1*1000,0)</f>
        <v>100511.14482436693</v>
      </c>
      <c r="F21" s="93">
        <f>_xlfn.IFERROR(E21/$I$2*100,0)</f>
        <v>199.4268746515217</v>
      </c>
      <c r="G21" s="92">
        <f>SUM(G4:G20)</f>
        <v>3487.5</v>
      </c>
      <c r="H21" s="92">
        <f>SUM(H4:H20)</f>
        <v>12.7</v>
      </c>
      <c r="I21" s="92">
        <f>SUM(I4:I20)</f>
        <v>36604.4</v>
      </c>
      <c r="J21" s="92">
        <f>SUM(J4:J20)</f>
        <v>207.2</v>
      </c>
      <c r="K21" s="55"/>
    </row>
    <row r="22" spans="1:11" ht="30">
      <c r="A22" s="74" t="s">
        <v>19</v>
      </c>
      <c r="B22" s="83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82">
        <f aca="true" t="shared" si="5" ref="F22:F42">_xlfn.IFERROR(E22/$I$2*100,0)</f>
        <v>0</v>
      </c>
      <c r="G22" s="80">
        <v>0</v>
      </c>
      <c r="H22" s="80">
        <v>0</v>
      </c>
      <c r="I22" s="80"/>
      <c r="J22" s="83"/>
      <c r="K22" s="43"/>
    </row>
    <row r="23" spans="1:11" ht="30">
      <c r="A23" s="74" t="s">
        <v>68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3"/>
      <c r="K23" s="43"/>
    </row>
    <row r="24" spans="1:11" ht="30">
      <c r="A24" s="74" t="s">
        <v>21</v>
      </c>
      <c r="B24" s="83">
        <v>1.2539999999999978</v>
      </c>
      <c r="C24" s="80">
        <v>1.244</v>
      </c>
      <c r="D24" s="81">
        <f t="shared" si="3"/>
        <v>110366.8261563001</v>
      </c>
      <c r="E24" s="81">
        <f t="shared" si="4"/>
        <v>101286.17363344051</v>
      </c>
      <c r="F24" s="82">
        <f t="shared" si="5"/>
        <v>200.96463022508038</v>
      </c>
      <c r="G24" s="80">
        <v>138.4000000000001</v>
      </c>
      <c r="H24" s="80">
        <v>0</v>
      </c>
      <c r="I24" s="80">
        <v>1386</v>
      </c>
      <c r="J24" s="83"/>
      <c r="K24" s="43"/>
    </row>
    <row r="25" spans="1:11" ht="16.5">
      <c r="A25" s="74" t="s">
        <v>22</v>
      </c>
      <c r="B25" s="83">
        <v>0</v>
      </c>
      <c r="C25" s="80"/>
      <c r="D25" s="81">
        <f t="shared" si="3"/>
        <v>0</v>
      </c>
      <c r="E25" s="81">
        <f t="shared" si="4"/>
        <v>0</v>
      </c>
      <c r="F25" s="82">
        <f t="shared" si="5"/>
        <v>0</v>
      </c>
      <c r="G25" s="80">
        <v>0</v>
      </c>
      <c r="H25" s="80">
        <v>0</v>
      </c>
      <c r="I25" s="80"/>
      <c r="J25" s="83"/>
      <c r="K25" s="43"/>
    </row>
    <row r="26" spans="1:11" ht="30">
      <c r="A26" s="74" t="s">
        <v>23</v>
      </c>
      <c r="B26" s="83">
        <v>0</v>
      </c>
      <c r="C26" s="80"/>
      <c r="D26" s="81">
        <f t="shared" si="3"/>
        <v>0</v>
      </c>
      <c r="E26" s="81">
        <f t="shared" si="4"/>
        <v>0</v>
      </c>
      <c r="F26" s="82">
        <f t="shared" si="5"/>
        <v>0</v>
      </c>
      <c r="G26" s="80">
        <v>0</v>
      </c>
      <c r="H26" s="80">
        <v>0</v>
      </c>
      <c r="I26" s="80"/>
      <c r="J26" s="83"/>
      <c r="K26" s="43"/>
    </row>
    <row r="27" spans="1:11" ht="16.5">
      <c r="A27" s="74" t="s">
        <v>24</v>
      </c>
      <c r="B27" s="83">
        <v>0</v>
      </c>
      <c r="C27" s="80"/>
      <c r="D27" s="81">
        <f t="shared" si="3"/>
        <v>0</v>
      </c>
      <c r="E27" s="81">
        <f t="shared" si="4"/>
        <v>0</v>
      </c>
      <c r="F27" s="82">
        <f t="shared" si="5"/>
        <v>0</v>
      </c>
      <c r="G27" s="80">
        <v>0</v>
      </c>
      <c r="H27" s="80">
        <v>0</v>
      </c>
      <c r="I27" s="80"/>
      <c r="J27" s="83"/>
      <c r="K27" s="43"/>
    </row>
    <row r="28" spans="1:11" ht="30">
      <c r="A28" s="74" t="s">
        <v>69</v>
      </c>
      <c r="B28" s="88">
        <v>1.9000000000000021</v>
      </c>
      <c r="C28" s="80">
        <v>1.59</v>
      </c>
      <c r="D28" s="81">
        <f t="shared" si="3"/>
        <v>103157.89473684199</v>
      </c>
      <c r="E28" s="81">
        <f t="shared" si="4"/>
        <v>100920.52601486562</v>
      </c>
      <c r="F28" s="82">
        <f t="shared" si="5"/>
        <v>200.23913891838419</v>
      </c>
      <c r="G28" s="80">
        <v>196</v>
      </c>
      <c r="H28" s="80">
        <v>0</v>
      </c>
      <c r="I28" s="80">
        <v>1765.1</v>
      </c>
      <c r="J28" s="83"/>
      <c r="K28" s="43"/>
    </row>
    <row r="29" spans="1:11" ht="20.25" customHeight="1">
      <c r="A29" s="74" t="s">
        <v>26</v>
      </c>
      <c r="B29" s="88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3">
        <v>0</v>
      </c>
      <c r="K29" s="43"/>
    </row>
    <row r="30" spans="1:11" ht="16.5">
      <c r="A30" s="74" t="s">
        <v>27</v>
      </c>
      <c r="B30" s="83">
        <v>0</v>
      </c>
      <c r="C30" s="80"/>
      <c r="D30" s="81">
        <f t="shared" si="3"/>
        <v>0</v>
      </c>
      <c r="E30" s="81">
        <f t="shared" si="4"/>
        <v>0</v>
      </c>
      <c r="F30" s="82">
        <f t="shared" si="5"/>
        <v>0</v>
      </c>
      <c r="G30" s="80">
        <v>0</v>
      </c>
      <c r="H30" s="80">
        <v>0</v>
      </c>
      <c r="I30" s="80"/>
      <c r="J30" s="83"/>
      <c r="K30" s="43"/>
    </row>
    <row r="31" spans="1:11" ht="16.5">
      <c r="A31" s="75" t="s">
        <v>28</v>
      </c>
      <c r="B31" s="88">
        <v>0</v>
      </c>
      <c r="C31" s="80"/>
      <c r="D31" s="81">
        <f t="shared" si="3"/>
        <v>0</v>
      </c>
      <c r="E31" s="81">
        <f t="shared" si="4"/>
        <v>0</v>
      </c>
      <c r="F31" s="82">
        <f t="shared" si="5"/>
        <v>0</v>
      </c>
      <c r="G31" s="80">
        <v>0</v>
      </c>
      <c r="H31" s="80">
        <v>0</v>
      </c>
      <c r="I31" s="80"/>
      <c r="J31" s="83"/>
      <c r="K31" s="43"/>
    </row>
    <row r="32" spans="1:11" ht="16.5">
      <c r="A32" s="74" t="s">
        <v>29</v>
      </c>
      <c r="B32" s="83">
        <v>0</v>
      </c>
      <c r="C32" s="80"/>
      <c r="D32" s="81">
        <f t="shared" si="3"/>
        <v>0</v>
      </c>
      <c r="E32" s="81">
        <f t="shared" si="4"/>
        <v>0</v>
      </c>
      <c r="F32" s="82">
        <f t="shared" si="5"/>
        <v>0</v>
      </c>
      <c r="G32" s="80">
        <v>0</v>
      </c>
      <c r="H32" s="80">
        <v>0</v>
      </c>
      <c r="I32" s="80"/>
      <c r="J32" s="83"/>
      <c r="K32" s="43"/>
    </row>
    <row r="33" spans="1:11" ht="30">
      <c r="A33" s="74" t="s">
        <v>30</v>
      </c>
      <c r="B33" s="88">
        <v>0</v>
      </c>
      <c r="C33" s="80"/>
      <c r="D33" s="81">
        <f t="shared" si="3"/>
        <v>0</v>
      </c>
      <c r="E33" s="81">
        <f t="shared" si="4"/>
        <v>0</v>
      </c>
      <c r="F33" s="82">
        <f t="shared" si="5"/>
        <v>0</v>
      </c>
      <c r="G33" s="80">
        <v>0</v>
      </c>
      <c r="H33" s="80">
        <v>0</v>
      </c>
      <c r="I33" s="80"/>
      <c r="J33" s="83"/>
      <c r="K33" s="43"/>
    </row>
    <row r="34" spans="1:11" ht="30">
      <c r="A34" s="74" t="s">
        <v>70</v>
      </c>
      <c r="B34" s="83">
        <v>0</v>
      </c>
      <c r="C34" s="80"/>
      <c r="D34" s="81">
        <f t="shared" si="3"/>
        <v>0</v>
      </c>
      <c r="E34" s="81">
        <f t="shared" si="4"/>
        <v>0</v>
      </c>
      <c r="F34" s="82">
        <f t="shared" si="5"/>
        <v>0</v>
      </c>
      <c r="G34" s="80">
        <v>0</v>
      </c>
      <c r="H34" s="80">
        <v>0</v>
      </c>
      <c r="I34" s="80"/>
      <c r="J34" s="83"/>
      <c r="K34" s="43"/>
    </row>
    <row r="35" spans="1:11" ht="16.5">
      <c r="A35" s="74" t="s">
        <v>32</v>
      </c>
      <c r="B35" s="83">
        <v>0</v>
      </c>
      <c r="C35" s="80"/>
      <c r="D35" s="81">
        <f t="shared" si="3"/>
        <v>0</v>
      </c>
      <c r="E35" s="81">
        <f t="shared" si="4"/>
        <v>0</v>
      </c>
      <c r="F35" s="82">
        <f t="shared" si="5"/>
        <v>0</v>
      </c>
      <c r="G35" s="80">
        <v>0</v>
      </c>
      <c r="H35" s="80">
        <v>0</v>
      </c>
      <c r="I35" s="80"/>
      <c r="J35" s="83"/>
      <c r="K35" s="43"/>
    </row>
    <row r="36" spans="1:11" ht="30">
      <c r="A36" s="74" t="s">
        <v>71</v>
      </c>
      <c r="B36" s="83">
        <v>0.5600000000000005</v>
      </c>
      <c r="C36" s="80">
        <v>0.46</v>
      </c>
      <c r="D36" s="81">
        <f t="shared" si="3"/>
        <v>89999.99999999999</v>
      </c>
      <c r="E36" s="81">
        <f t="shared" si="4"/>
        <v>98241.1067193676</v>
      </c>
      <c r="F36" s="82">
        <f t="shared" si="5"/>
        <v>194.92283079239604</v>
      </c>
      <c r="G36" s="80">
        <v>50.400000000000034</v>
      </c>
      <c r="H36" s="80">
        <v>0</v>
      </c>
      <c r="I36" s="80">
        <v>497.1</v>
      </c>
      <c r="J36" s="83"/>
      <c r="K36" s="43"/>
    </row>
    <row r="37" spans="1:11" ht="16.5">
      <c r="A37" s="74" t="s">
        <v>72</v>
      </c>
      <c r="B37" s="88">
        <v>0</v>
      </c>
      <c r="C37" s="80"/>
      <c r="D37" s="81">
        <f t="shared" si="3"/>
        <v>0</v>
      </c>
      <c r="E37" s="81">
        <f t="shared" si="4"/>
        <v>0</v>
      </c>
      <c r="F37" s="82">
        <f t="shared" si="5"/>
        <v>0</v>
      </c>
      <c r="G37" s="80">
        <v>0</v>
      </c>
      <c r="H37" s="80">
        <v>0</v>
      </c>
      <c r="I37" s="80"/>
      <c r="J37" s="83"/>
      <c r="K37" s="43"/>
    </row>
    <row r="38" spans="1:11" ht="30">
      <c r="A38" s="74" t="s">
        <v>73</v>
      </c>
      <c r="B38" s="83">
        <v>0.9969999999999999</v>
      </c>
      <c r="C38" s="80">
        <v>0.967</v>
      </c>
      <c r="D38" s="81">
        <f t="shared" si="3"/>
        <v>100802.40722166501</v>
      </c>
      <c r="E38" s="81">
        <f t="shared" si="4"/>
        <v>100799.09748989377</v>
      </c>
      <c r="F38" s="82">
        <f t="shared" si="5"/>
        <v>199.99820930534477</v>
      </c>
      <c r="G38" s="80">
        <v>100.5</v>
      </c>
      <c r="H38" s="80">
        <v>0</v>
      </c>
      <c r="I38" s="80">
        <v>1072.2</v>
      </c>
      <c r="J38" s="83"/>
      <c r="K38" s="43"/>
    </row>
    <row r="39" spans="1:11" ht="30">
      <c r="A39" s="74" t="s">
        <v>36</v>
      </c>
      <c r="B39" s="83">
        <v>0</v>
      </c>
      <c r="C39" s="80"/>
      <c r="D39" s="81">
        <f t="shared" si="3"/>
        <v>0</v>
      </c>
      <c r="E39" s="81">
        <f t="shared" si="4"/>
        <v>0</v>
      </c>
      <c r="F39" s="82">
        <f t="shared" si="5"/>
        <v>0</v>
      </c>
      <c r="G39" s="80">
        <v>0</v>
      </c>
      <c r="H39" s="80">
        <v>0</v>
      </c>
      <c r="I39" s="80"/>
      <c r="J39" s="83"/>
      <c r="K39" s="43"/>
    </row>
    <row r="40" spans="1:11" ht="16.5">
      <c r="A40" s="74" t="s">
        <v>74</v>
      </c>
      <c r="B40" s="83">
        <v>1</v>
      </c>
      <c r="C40" s="80">
        <v>1</v>
      </c>
      <c r="D40" s="81">
        <f t="shared" si="3"/>
        <v>51409.99999999997</v>
      </c>
      <c r="E40" s="81">
        <f t="shared" si="4"/>
        <v>95891.81818181818</v>
      </c>
      <c r="F40" s="82">
        <f t="shared" si="5"/>
        <v>190.261544011544</v>
      </c>
      <c r="G40" s="80">
        <v>51.40999999999997</v>
      </c>
      <c r="H40" s="80">
        <v>0</v>
      </c>
      <c r="I40" s="80">
        <v>1054.81</v>
      </c>
      <c r="J40" s="83"/>
      <c r="K40" s="43"/>
    </row>
    <row r="41" spans="1:11" ht="16.5">
      <c r="A41" s="74" t="s">
        <v>38</v>
      </c>
      <c r="B41" s="83">
        <v>1</v>
      </c>
      <c r="C41" s="80">
        <v>1</v>
      </c>
      <c r="D41" s="81">
        <f t="shared" si="3"/>
        <v>100799.99999999996</v>
      </c>
      <c r="E41" s="81">
        <f t="shared" si="4"/>
        <v>100800</v>
      </c>
      <c r="F41" s="82">
        <f t="shared" si="5"/>
        <v>200</v>
      </c>
      <c r="G41" s="80">
        <v>100.79999999999995</v>
      </c>
      <c r="H41" s="80">
        <v>0</v>
      </c>
      <c r="I41" s="80">
        <v>1108.8</v>
      </c>
      <c r="J41" s="83"/>
      <c r="K41" s="43"/>
    </row>
    <row r="42" spans="1:11" ht="30">
      <c r="A42" s="76" t="s">
        <v>39</v>
      </c>
      <c r="B42" s="85">
        <v>0.0009999999999998899</v>
      </c>
      <c r="C42" s="86">
        <v>0.091</v>
      </c>
      <c r="D42" s="87">
        <f t="shared" si="3"/>
        <v>0</v>
      </c>
      <c r="E42" s="81">
        <f t="shared" si="4"/>
        <v>111988.01198801197</v>
      </c>
      <c r="F42" s="82">
        <f t="shared" si="5"/>
        <v>222.19843648415076</v>
      </c>
      <c r="G42" s="86">
        <v>0</v>
      </c>
      <c r="H42" s="86">
        <v>0</v>
      </c>
      <c r="I42" s="86">
        <v>112.1</v>
      </c>
      <c r="J42" s="85"/>
      <c r="K42" s="43"/>
    </row>
    <row r="43" spans="1:11" s="56" customFormat="1" ht="16.5">
      <c r="A43" s="77" t="s">
        <v>46</v>
      </c>
      <c r="B43" s="92">
        <f>SUM(B22:B42)</f>
        <v>6.712</v>
      </c>
      <c r="C43" s="92">
        <f>SUM(C22:C42)</f>
        <v>6.352</v>
      </c>
      <c r="D43" s="92">
        <f>_xlfn.IFERROR(G43/B43*1000,0)</f>
        <v>94980.63170441001</v>
      </c>
      <c r="E43" s="92">
        <f>_xlfn.IFERROR(I43/C43/$K$1*1000,0)</f>
        <v>100127.51889168765</v>
      </c>
      <c r="F43" s="93">
        <f>_xlfn.IFERROR(E43/$I$2*100,0)</f>
        <v>198.66571208668185</v>
      </c>
      <c r="G43" s="92">
        <f>SUM(G22:G42)</f>
        <v>637.51</v>
      </c>
      <c r="H43" s="92">
        <f>SUM(H22:H42)</f>
        <v>0</v>
      </c>
      <c r="I43" s="92">
        <f>SUM(I22:I42)</f>
        <v>6996.11</v>
      </c>
      <c r="J43" s="92">
        <f>SUM(J22:J42)</f>
        <v>0</v>
      </c>
      <c r="K43" s="55"/>
    </row>
    <row r="44" spans="1:11" s="56" customFormat="1" ht="16.5">
      <c r="A44" s="78" t="s">
        <v>75</v>
      </c>
      <c r="B44" s="85">
        <v>1</v>
      </c>
      <c r="C44" s="86">
        <v>0.7</v>
      </c>
      <c r="D44" s="87">
        <f>_xlfn.IFERROR(G44/B44*1000,0)</f>
        <v>82800</v>
      </c>
      <c r="E44" s="81">
        <f>_xlfn.IFERROR(I44/C44/$K$1*1000,0)</f>
        <v>88909.09090909093</v>
      </c>
      <c r="F44" s="82">
        <f>_xlfn.IFERROR(E44/$I$2*100,0)</f>
        <v>176.40692640692643</v>
      </c>
      <c r="G44" s="86">
        <v>82.8</v>
      </c>
      <c r="H44" s="86">
        <v>0</v>
      </c>
      <c r="I44" s="86">
        <v>684.6</v>
      </c>
      <c r="J44" s="85"/>
      <c r="K44" s="55"/>
    </row>
    <row r="45" spans="1:10" ht="16.5">
      <c r="A45" s="77" t="s">
        <v>47</v>
      </c>
      <c r="B45" s="92">
        <f>B21+B43+B44</f>
        <v>42.83449999999999</v>
      </c>
      <c r="C45" s="92">
        <f>C21+C43+C44</f>
        <v>40.159499999999994</v>
      </c>
      <c r="D45" s="92">
        <f>_xlfn.IFERROR(G45/B45*1000,0)</f>
        <v>98234.13370063854</v>
      </c>
      <c r="E45" s="92">
        <f>_xlfn.IFERROR(I45/C45/$K$1*1000,0)</f>
        <v>100248.23742599114</v>
      </c>
      <c r="F45" s="93">
        <f>_xlfn.IFERROR(E45/$I$2*100,0)</f>
        <v>198.90523298807767</v>
      </c>
      <c r="G45" s="92">
        <f>G21+G43+G44</f>
        <v>4207.81</v>
      </c>
      <c r="H45" s="92">
        <f>H21+H43+H44</f>
        <v>12.7</v>
      </c>
      <c r="I45" s="92">
        <f>I21+I43+I44</f>
        <v>44285.11</v>
      </c>
      <c r="J45" s="92">
        <f>J21+J43+J44</f>
        <v>207.2</v>
      </c>
    </row>
    <row r="46" spans="2:9" ht="16.5">
      <c r="B46" s="59"/>
      <c r="C46" s="60"/>
      <c r="D46" s="59"/>
      <c r="E46" s="59"/>
      <c r="F46" s="58"/>
      <c r="G46" s="59"/>
      <c r="H46" s="59"/>
      <c r="I46" s="59"/>
    </row>
    <row r="48" spans="2:3" ht="16.5">
      <c r="B48" s="50"/>
      <c r="C48" s="50"/>
    </row>
    <row r="53" spans="2:9" ht="16.5">
      <c r="B53" s="50"/>
      <c r="C53" s="50"/>
      <c r="D53" s="50"/>
      <c r="E53" s="50"/>
      <c r="G53" s="50"/>
      <c r="H53" s="50"/>
      <c r="I53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29">
      <selection activeCell="C58" sqref="C58"/>
    </sheetView>
  </sheetViews>
  <sheetFormatPr defaultColWidth="9.140625" defaultRowHeight="15"/>
  <cols>
    <col min="1" max="1" width="31.140625" style="34" customWidth="1"/>
    <col min="2" max="2" width="18.28125" style="36" customWidth="1"/>
    <col min="3" max="3" width="18.7109375" style="53" customWidth="1"/>
    <col min="4" max="4" width="18.421875" style="36" customWidth="1"/>
    <col min="5" max="5" width="13.421875" style="50" customWidth="1"/>
    <col min="6" max="6" width="17.8515625" style="54" customWidth="1"/>
    <col min="7" max="7" width="12.7109375" style="36" customWidth="1"/>
    <col min="8" max="8" width="14.00390625" style="36" customWidth="1"/>
    <col min="9" max="9" width="16.28125" style="36" customWidth="1"/>
    <col min="10" max="10" width="13.421875" style="52" customWidth="1"/>
    <col min="11" max="11" width="11.28125" style="52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37" t="s">
        <v>63</v>
      </c>
      <c r="K1" s="37">
        <f>VLOOKUP(month,месяцы!$A$1:$B$12,2,FALSE)</f>
        <v>11</v>
      </c>
    </row>
    <row r="2" spans="1:11" ht="29.25" customHeight="1">
      <c r="A2" s="12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8"/>
      <c r="C2" s="128"/>
      <c r="D2" s="128"/>
      <c r="E2" s="128"/>
      <c r="F2" s="128"/>
      <c r="G2" s="39"/>
      <c r="H2" s="40"/>
      <c r="I2" s="41">
        <v>50400</v>
      </c>
      <c r="J2" s="37">
        <v>2023</v>
      </c>
      <c r="K2" s="37"/>
    </row>
    <row r="3" spans="1:11" ht="10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(ноябрь)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5"/>
    </row>
    <row r="4" spans="1:17" ht="16.5">
      <c r="A4" s="69" t="s">
        <v>2</v>
      </c>
      <c r="B4" s="79">
        <v>51.700000000000045</v>
      </c>
      <c r="C4" s="80">
        <v>52.7</v>
      </c>
      <c r="D4" s="81">
        <f>_xlfn.IFERROR(G4/B4*1000,0)</f>
        <v>38750.48355899412</v>
      </c>
      <c r="E4" s="81">
        <f>_xlfn.IFERROR(I4/C4/$K$1*1000,0)</f>
        <v>48294.980162152824</v>
      </c>
      <c r="F4" s="82">
        <f>_xlfn.IFERROR(E4/$I$2*100,0)</f>
        <v>95.8233733376048</v>
      </c>
      <c r="G4" s="80">
        <v>2003.3999999999978</v>
      </c>
      <c r="H4" s="80">
        <v>0</v>
      </c>
      <c r="I4" s="83">
        <v>27996.6</v>
      </c>
      <c r="J4" s="89"/>
      <c r="K4" s="42"/>
      <c r="P4" s="43"/>
      <c r="Q4" s="43"/>
    </row>
    <row r="5" spans="1:17" ht="16.5">
      <c r="A5" s="69" t="s">
        <v>3</v>
      </c>
      <c r="B5" s="79">
        <v>13.009999999999991</v>
      </c>
      <c r="C5" s="80">
        <v>13.21</v>
      </c>
      <c r="D5" s="81">
        <f aca="true" t="shared" si="0" ref="D5:D20">_xlfn.IFERROR(G5/B5*1000,0)</f>
        <v>50407.37893927753</v>
      </c>
      <c r="E5" s="81">
        <f aca="true" t="shared" si="1" ref="E5:E20">_xlfn.IFERROR(I5/C5/$K$1*1000,0)</f>
        <v>50399.83483586814</v>
      </c>
      <c r="F5" s="82">
        <f aca="true" t="shared" si="2" ref="F5:F20">_xlfn.IFERROR(E5/$I$2*100,0)</f>
        <v>99.99967229338917</v>
      </c>
      <c r="G5" s="80">
        <v>655.8000000000002</v>
      </c>
      <c r="H5" s="80">
        <v>2.5999999999999996</v>
      </c>
      <c r="I5" s="83">
        <v>7323.6</v>
      </c>
      <c r="J5" s="89">
        <v>6.8</v>
      </c>
      <c r="K5" s="42"/>
      <c r="P5" s="43"/>
      <c r="Q5" s="43"/>
    </row>
    <row r="6" spans="1:17" ht="16.5">
      <c r="A6" s="69" t="s">
        <v>4</v>
      </c>
      <c r="B6" s="79">
        <v>21.97999999999999</v>
      </c>
      <c r="C6" s="80">
        <v>18.18</v>
      </c>
      <c r="D6" s="81">
        <f t="shared" si="0"/>
        <v>48070.97361237493</v>
      </c>
      <c r="E6" s="81">
        <f t="shared" si="1"/>
        <v>50058.50585058506</v>
      </c>
      <c r="F6" s="82">
        <f t="shared" si="2"/>
        <v>99.32243224322433</v>
      </c>
      <c r="G6" s="80">
        <v>1056.6000000000004</v>
      </c>
      <c r="H6" s="80">
        <v>0</v>
      </c>
      <c r="I6" s="83">
        <v>10010.7</v>
      </c>
      <c r="J6" s="89"/>
      <c r="K6" s="42"/>
      <c r="P6" s="43"/>
      <c r="Q6" s="43"/>
    </row>
    <row r="7" spans="1:17" ht="16.5">
      <c r="A7" s="69" t="s">
        <v>6</v>
      </c>
      <c r="B7" s="79">
        <v>39.31</v>
      </c>
      <c r="C7" s="80">
        <v>37.21</v>
      </c>
      <c r="D7" s="81">
        <f t="shared" si="0"/>
        <v>43167.133045026654</v>
      </c>
      <c r="E7" s="81">
        <f t="shared" si="1"/>
        <v>51331.753438713924</v>
      </c>
      <c r="F7" s="82">
        <f t="shared" si="2"/>
        <v>101.84871714030541</v>
      </c>
      <c r="G7" s="80">
        <v>1696.8999999999978</v>
      </c>
      <c r="H7" s="80">
        <v>0</v>
      </c>
      <c r="I7" s="83">
        <v>21010.6</v>
      </c>
      <c r="J7" s="89"/>
      <c r="K7" s="42"/>
      <c r="P7" s="43"/>
      <c r="Q7" s="43"/>
    </row>
    <row r="8" spans="1:17" ht="16.5">
      <c r="A8" s="69" t="s">
        <v>7</v>
      </c>
      <c r="B8" s="83">
        <v>6.504000000000005</v>
      </c>
      <c r="C8" s="80">
        <v>7.864</v>
      </c>
      <c r="D8" s="81">
        <f t="shared" si="0"/>
        <v>50536.592865928564</v>
      </c>
      <c r="E8" s="81">
        <f t="shared" si="1"/>
        <v>50352.46924997687</v>
      </c>
      <c r="F8" s="82">
        <f t="shared" si="2"/>
        <v>99.90569295630331</v>
      </c>
      <c r="G8" s="80">
        <v>328.6899999999996</v>
      </c>
      <c r="H8" s="80">
        <v>15.140000000000015</v>
      </c>
      <c r="I8" s="83">
        <v>4355.69</v>
      </c>
      <c r="J8" s="89">
        <v>189.34</v>
      </c>
      <c r="K8" s="42"/>
      <c r="P8" s="43"/>
      <c r="Q8" s="43"/>
    </row>
    <row r="9" spans="1:17" s="44" customFormat="1" ht="16.5">
      <c r="A9" s="69" t="s">
        <v>8</v>
      </c>
      <c r="B9" s="83">
        <v>38.70199999999994</v>
      </c>
      <c r="C9" s="80">
        <v>40.582</v>
      </c>
      <c r="D9" s="81">
        <f t="shared" si="0"/>
        <v>50198.95612629853</v>
      </c>
      <c r="E9" s="81">
        <f t="shared" si="1"/>
        <v>50421.81710655419</v>
      </c>
      <c r="F9" s="82">
        <f t="shared" si="2"/>
        <v>100.04328790982974</v>
      </c>
      <c r="G9" s="80">
        <v>1942.800000000003</v>
      </c>
      <c r="H9" s="80">
        <v>0</v>
      </c>
      <c r="I9" s="83">
        <v>22508.4</v>
      </c>
      <c r="J9" s="89"/>
      <c r="K9" s="42"/>
      <c r="P9" s="43"/>
      <c r="Q9" s="43"/>
    </row>
    <row r="10" spans="1:17" ht="16.5">
      <c r="A10" s="69" t="s">
        <v>9</v>
      </c>
      <c r="B10" s="83">
        <v>9.120000000000005</v>
      </c>
      <c r="C10" s="80">
        <v>8</v>
      </c>
      <c r="D10" s="81">
        <f t="shared" si="0"/>
        <v>47894.73684210526</v>
      </c>
      <c r="E10" s="81">
        <f t="shared" si="1"/>
        <v>50315.909090909096</v>
      </c>
      <c r="F10" s="82">
        <f t="shared" si="2"/>
        <v>99.83315295815297</v>
      </c>
      <c r="G10" s="80">
        <v>436.8000000000002</v>
      </c>
      <c r="H10" s="80">
        <v>11.700000000000003</v>
      </c>
      <c r="I10" s="83">
        <v>4427.8</v>
      </c>
      <c r="J10" s="89">
        <v>81.5</v>
      </c>
      <c r="K10" s="42"/>
      <c r="P10" s="43"/>
      <c r="Q10" s="43"/>
    </row>
    <row r="11" spans="1:17" ht="16.5">
      <c r="A11" s="69" t="s">
        <v>10</v>
      </c>
      <c r="B11" s="83">
        <v>9.002999999999986</v>
      </c>
      <c r="C11" s="80">
        <v>9.573</v>
      </c>
      <c r="D11" s="81">
        <f t="shared" si="0"/>
        <v>47895.14606242369</v>
      </c>
      <c r="E11" s="81">
        <f t="shared" si="1"/>
        <v>49925.45321595776</v>
      </c>
      <c r="F11" s="82">
        <f t="shared" si="2"/>
        <v>99.05843892055111</v>
      </c>
      <c r="G11" s="80">
        <v>431.1999999999998</v>
      </c>
      <c r="H11" s="80">
        <v>0</v>
      </c>
      <c r="I11" s="83">
        <v>5257.3</v>
      </c>
      <c r="J11" s="89"/>
      <c r="K11" s="42"/>
      <c r="P11" s="43"/>
      <c r="Q11" s="43"/>
    </row>
    <row r="12" spans="1:17" s="44" customFormat="1" ht="16.5">
      <c r="A12" s="70" t="s">
        <v>11</v>
      </c>
      <c r="B12" s="84">
        <v>14.699999999999989</v>
      </c>
      <c r="C12" s="80">
        <v>14.6</v>
      </c>
      <c r="D12" s="81">
        <f t="shared" si="0"/>
        <v>51210.884353741545</v>
      </c>
      <c r="E12" s="81">
        <f t="shared" si="1"/>
        <v>50588.41843088419</v>
      </c>
      <c r="F12" s="82">
        <f t="shared" si="2"/>
        <v>100.37384609302418</v>
      </c>
      <c r="G12" s="80">
        <v>752.8000000000002</v>
      </c>
      <c r="H12" s="80">
        <v>0</v>
      </c>
      <c r="I12" s="83">
        <v>8124.5</v>
      </c>
      <c r="J12" s="89"/>
      <c r="K12" s="42"/>
      <c r="P12" s="43"/>
      <c r="Q12" s="43"/>
    </row>
    <row r="13" spans="1:17" s="45" customFormat="1" ht="16.5">
      <c r="A13" s="69" t="s">
        <v>12</v>
      </c>
      <c r="B13" s="83">
        <v>38.799999999999955</v>
      </c>
      <c r="C13" s="80">
        <v>37.8</v>
      </c>
      <c r="D13" s="81">
        <f t="shared" si="0"/>
        <v>50672.68041237125</v>
      </c>
      <c r="E13" s="81">
        <f t="shared" si="1"/>
        <v>50428.571428571435</v>
      </c>
      <c r="F13" s="82">
        <f t="shared" si="2"/>
        <v>100.05668934240364</v>
      </c>
      <c r="G13" s="80">
        <v>1966.1000000000022</v>
      </c>
      <c r="H13" s="80">
        <v>0.799999999999983</v>
      </c>
      <c r="I13" s="83">
        <v>20968.2</v>
      </c>
      <c r="J13" s="89">
        <v>217.6</v>
      </c>
      <c r="K13" s="42"/>
      <c r="L13" s="44"/>
      <c r="P13" s="43"/>
      <c r="Q13" s="43"/>
    </row>
    <row r="14" spans="1:17" s="44" customFormat="1" ht="30">
      <c r="A14" s="70" t="s">
        <v>13</v>
      </c>
      <c r="B14" s="84">
        <v>40.19999999999999</v>
      </c>
      <c r="C14" s="80">
        <v>44.94</v>
      </c>
      <c r="D14" s="81">
        <f>_xlfn.IFERROR(G14/B14*1000,0)</f>
        <v>47746.268656716464</v>
      </c>
      <c r="E14" s="81">
        <f t="shared" si="1"/>
        <v>50309.90816037545</v>
      </c>
      <c r="F14" s="82">
        <f t="shared" si="2"/>
        <v>99.8212463499513</v>
      </c>
      <c r="G14" s="80">
        <v>1919.4000000000015</v>
      </c>
      <c r="H14" s="80">
        <v>0</v>
      </c>
      <c r="I14" s="83">
        <v>24870.2</v>
      </c>
      <c r="J14" s="89"/>
      <c r="K14" s="42"/>
      <c r="P14" s="43"/>
      <c r="Q14" s="43"/>
    </row>
    <row r="15" spans="1:17" s="44" customFormat="1" ht="16.5">
      <c r="A15" s="69" t="s">
        <v>14</v>
      </c>
      <c r="B15" s="83">
        <v>29.600000000000023</v>
      </c>
      <c r="C15" s="80">
        <v>31.6</v>
      </c>
      <c r="D15" s="81">
        <f t="shared" si="0"/>
        <v>55682.09459459451</v>
      </c>
      <c r="E15" s="81">
        <f t="shared" si="1"/>
        <v>53247.094361334865</v>
      </c>
      <c r="F15" s="82">
        <f t="shared" si="2"/>
        <v>105.64899674868029</v>
      </c>
      <c r="G15" s="80">
        <v>1648.1899999999987</v>
      </c>
      <c r="H15" s="80">
        <v>0</v>
      </c>
      <c r="I15" s="83">
        <v>18508.69</v>
      </c>
      <c r="J15" s="89"/>
      <c r="K15" s="42"/>
      <c r="P15" s="43"/>
      <c r="Q15" s="43"/>
    </row>
    <row r="16" spans="1:17" s="44" customFormat="1" ht="16.5">
      <c r="A16" s="71" t="s">
        <v>65</v>
      </c>
      <c r="B16" s="83">
        <v>19.80000000000001</v>
      </c>
      <c r="C16" s="80">
        <v>21.8</v>
      </c>
      <c r="D16" s="81">
        <f t="shared" si="0"/>
        <v>61065.65656565654</v>
      </c>
      <c r="E16" s="81">
        <f t="shared" si="1"/>
        <v>51280.65054211843</v>
      </c>
      <c r="F16" s="82">
        <f t="shared" si="2"/>
        <v>101.74732250420323</v>
      </c>
      <c r="G16" s="80">
        <v>1209.1000000000004</v>
      </c>
      <c r="H16" s="80">
        <v>1.9000000000000057</v>
      </c>
      <c r="I16" s="83">
        <v>12297.1</v>
      </c>
      <c r="J16" s="89">
        <v>44.7</v>
      </c>
      <c r="K16" s="42"/>
      <c r="P16" s="43"/>
      <c r="Q16" s="43"/>
    </row>
    <row r="17" spans="1:17" s="44" customFormat="1" ht="16.5">
      <c r="A17" s="69" t="s">
        <v>66</v>
      </c>
      <c r="B17" s="83">
        <v>22.99599999999998</v>
      </c>
      <c r="C17" s="80">
        <v>22.636</v>
      </c>
      <c r="D17" s="81">
        <f t="shared" si="0"/>
        <v>50400.06957731784</v>
      </c>
      <c r="E17" s="81">
        <f t="shared" si="1"/>
        <v>50400.00642580603</v>
      </c>
      <c r="F17" s="82">
        <f t="shared" si="2"/>
        <v>100.00001274961514</v>
      </c>
      <c r="G17" s="80">
        <v>1159</v>
      </c>
      <c r="H17" s="80">
        <v>146.2</v>
      </c>
      <c r="I17" s="83">
        <v>12549.4</v>
      </c>
      <c r="J17" s="89">
        <v>146.2</v>
      </c>
      <c r="K17" s="42"/>
      <c r="P17" s="43"/>
      <c r="Q17" s="43"/>
    </row>
    <row r="18" spans="1:17" ht="16.5">
      <c r="A18" s="69" t="s">
        <v>16</v>
      </c>
      <c r="B18" s="83">
        <v>66.70000000000005</v>
      </c>
      <c r="C18" s="80">
        <v>64.7</v>
      </c>
      <c r="D18" s="81">
        <f t="shared" si="0"/>
        <v>47898.50074962518</v>
      </c>
      <c r="E18" s="81">
        <f t="shared" si="1"/>
        <v>50165.56133202191</v>
      </c>
      <c r="F18" s="82">
        <f t="shared" si="2"/>
        <v>99.53484391274189</v>
      </c>
      <c r="G18" s="80">
        <v>3194.8300000000017</v>
      </c>
      <c r="H18" s="80">
        <v>0</v>
      </c>
      <c r="I18" s="83">
        <v>35702.83</v>
      </c>
      <c r="J18" s="89"/>
      <c r="K18" s="42"/>
      <c r="P18" s="43"/>
      <c r="Q18" s="43"/>
    </row>
    <row r="19" spans="1:17" ht="16.5">
      <c r="A19" s="69" t="s">
        <v>17</v>
      </c>
      <c r="B19" s="83">
        <v>13.199999999999989</v>
      </c>
      <c r="C19" s="80">
        <v>12.2</v>
      </c>
      <c r="D19" s="81">
        <f t="shared" si="0"/>
        <v>50401.5151515152</v>
      </c>
      <c r="E19" s="81">
        <f t="shared" si="1"/>
        <v>50400.14903129657</v>
      </c>
      <c r="F19" s="82">
        <f t="shared" si="2"/>
        <v>100.00029569701701</v>
      </c>
      <c r="G19" s="80">
        <v>665.3000000000002</v>
      </c>
      <c r="H19" s="80">
        <v>0</v>
      </c>
      <c r="I19" s="83">
        <v>6763.7</v>
      </c>
      <c r="J19" s="89"/>
      <c r="K19" s="42"/>
      <c r="P19" s="43"/>
      <c r="Q19" s="43"/>
    </row>
    <row r="20" spans="1:17" ht="16.5">
      <c r="A20" s="72" t="s">
        <v>67</v>
      </c>
      <c r="B20" s="85">
        <v>16</v>
      </c>
      <c r="C20" s="86">
        <v>15.93</v>
      </c>
      <c r="D20" s="87">
        <f t="shared" si="0"/>
        <v>50343.75</v>
      </c>
      <c r="E20" s="81">
        <f t="shared" si="1"/>
        <v>50379.501226958855</v>
      </c>
      <c r="F20" s="82">
        <f t="shared" si="2"/>
        <v>99.95932783126757</v>
      </c>
      <c r="G20" s="86">
        <v>805.5</v>
      </c>
      <c r="H20" s="86">
        <v>0.9000000000000057</v>
      </c>
      <c r="I20" s="85">
        <v>8828</v>
      </c>
      <c r="J20" s="90">
        <v>123.4</v>
      </c>
      <c r="K20" s="42"/>
      <c r="P20" s="43"/>
      <c r="Q20" s="43"/>
    </row>
    <row r="21" spans="1:17" s="56" customFormat="1" ht="16.5">
      <c r="A21" s="73" t="s">
        <v>45</v>
      </c>
      <c r="B21" s="92">
        <f>SUM(B4:B20)</f>
        <v>451.32499999999993</v>
      </c>
      <c r="C21" s="92">
        <f>SUM(C4:C20)</f>
        <v>453.52500000000003</v>
      </c>
      <c r="D21" s="92">
        <f>_xlfn.IFERROR(G21/B21*1000,0)</f>
        <v>48462.6599457154</v>
      </c>
      <c r="E21" s="92">
        <f>_xlfn.IFERROR(I21/C21/$K$1*1000,0)</f>
        <v>50413.84107320936</v>
      </c>
      <c r="F21" s="93">
        <f>_xlfn.IFERROR(E21/$I$2*100,0)</f>
        <v>100.02746244684397</v>
      </c>
      <c r="G21" s="92">
        <f>SUM(G4:G20)</f>
        <v>21872.41</v>
      </c>
      <c r="H21" s="92">
        <f>SUM(H4:H20)</f>
        <v>179.24</v>
      </c>
      <c r="I21" s="92">
        <f>SUM(I4:I20)</f>
        <v>251503.31000000006</v>
      </c>
      <c r="J21" s="92">
        <f>SUM(J4:J20)</f>
        <v>809.5400000000001</v>
      </c>
      <c r="K21" s="94"/>
      <c r="P21" s="55"/>
      <c r="Q21" s="55"/>
    </row>
    <row r="22" spans="1:17" ht="30">
      <c r="A22" s="74" t="s">
        <v>19</v>
      </c>
      <c r="B22" s="83">
        <v>16.75</v>
      </c>
      <c r="C22" s="80">
        <v>16.75</v>
      </c>
      <c r="D22" s="81">
        <f aca="true" t="shared" si="3" ref="D22:D42">_xlfn.IFERROR(G22/B22*1000,0)</f>
        <v>50382.08955223878</v>
      </c>
      <c r="E22" s="81">
        <f aca="true" t="shared" si="4" ref="E22:E42">_xlfn.IFERROR(I22/C22/$K$1*1000,0)</f>
        <v>50398.37177747625</v>
      </c>
      <c r="F22" s="82">
        <f aca="true" t="shared" si="5" ref="F22:F42">_xlfn.IFERROR(E22/$I$2*100,0)</f>
        <v>99.99676939975446</v>
      </c>
      <c r="G22" s="80">
        <v>843.8999999999996</v>
      </c>
      <c r="H22" s="80">
        <v>25.399999999999977</v>
      </c>
      <c r="I22" s="80">
        <v>9285.9</v>
      </c>
      <c r="J22" s="89">
        <v>180.2</v>
      </c>
      <c r="K22" s="42"/>
      <c r="P22" s="43"/>
      <c r="Q22" s="43"/>
    </row>
    <row r="23" spans="1:17" ht="30">
      <c r="A23" s="74" t="s">
        <v>68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9"/>
      <c r="K23" s="42"/>
      <c r="P23" s="43"/>
      <c r="Q23" s="43"/>
    </row>
    <row r="24" spans="1:17" ht="30">
      <c r="A24" s="74" t="s">
        <v>21</v>
      </c>
      <c r="B24" s="83">
        <v>8</v>
      </c>
      <c r="C24" s="80">
        <v>8</v>
      </c>
      <c r="D24" s="81">
        <f t="shared" si="3"/>
        <v>48737.500000000015</v>
      </c>
      <c r="E24" s="81">
        <f t="shared" si="4"/>
        <v>50105.68181818182</v>
      </c>
      <c r="F24" s="82">
        <f t="shared" si="5"/>
        <v>99.41603535353536</v>
      </c>
      <c r="G24" s="80">
        <v>389.9000000000001</v>
      </c>
      <c r="H24" s="80">
        <v>0</v>
      </c>
      <c r="I24" s="80">
        <v>4409.3</v>
      </c>
      <c r="J24" s="89"/>
      <c r="K24" s="42"/>
      <c r="P24" s="43"/>
      <c r="Q24" s="43"/>
    </row>
    <row r="25" spans="1:17" s="36" customFormat="1" ht="30">
      <c r="A25" s="74" t="s">
        <v>22</v>
      </c>
      <c r="B25" s="83">
        <v>3.240000000000002</v>
      </c>
      <c r="C25" s="80">
        <v>3.74</v>
      </c>
      <c r="D25" s="81">
        <f t="shared" si="3"/>
        <v>48086.419753086375</v>
      </c>
      <c r="E25" s="81">
        <f t="shared" si="4"/>
        <v>49387.45746232377</v>
      </c>
      <c r="F25" s="82">
        <f t="shared" si="5"/>
        <v>97.99098702842018</v>
      </c>
      <c r="G25" s="80">
        <v>155.79999999999995</v>
      </c>
      <c r="H25" s="80">
        <v>0</v>
      </c>
      <c r="I25" s="80">
        <v>2031.8</v>
      </c>
      <c r="J25" s="89">
        <v>0.9</v>
      </c>
      <c r="K25" s="42"/>
      <c r="P25" s="43"/>
      <c r="Q25" s="43"/>
    </row>
    <row r="26" spans="1:17" ht="30">
      <c r="A26" s="74" t="s">
        <v>23</v>
      </c>
      <c r="B26" s="83">
        <v>5.700999999999993</v>
      </c>
      <c r="C26" s="80">
        <v>6.191</v>
      </c>
      <c r="D26" s="81">
        <f t="shared" si="3"/>
        <v>51429.573758989674</v>
      </c>
      <c r="E26" s="81">
        <f t="shared" si="4"/>
        <v>50485.308585777006</v>
      </c>
      <c r="F26" s="82">
        <f t="shared" si="5"/>
        <v>100.16926306701788</v>
      </c>
      <c r="G26" s="80">
        <v>293.1999999999998</v>
      </c>
      <c r="H26" s="80">
        <v>0</v>
      </c>
      <c r="I26" s="80">
        <v>3438.1</v>
      </c>
      <c r="J26" s="89">
        <v>24.5</v>
      </c>
      <c r="K26" s="42"/>
      <c r="P26" s="43"/>
      <c r="Q26" s="43"/>
    </row>
    <row r="27" spans="1:17" ht="16.5">
      <c r="A27" s="74" t="s">
        <v>24</v>
      </c>
      <c r="B27" s="83">
        <v>6.700000000000003</v>
      </c>
      <c r="C27" s="80">
        <v>7.7</v>
      </c>
      <c r="D27" s="81">
        <f t="shared" si="3"/>
        <v>50400.00000000002</v>
      </c>
      <c r="E27" s="81">
        <f t="shared" si="4"/>
        <v>50400</v>
      </c>
      <c r="F27" s="82">
        <f t="shared" si="5"/>
        <v>100</v>
      </c>
      <c r="G27" s="80">
        <v>337.6800000000003</v>
      </c>
      <c r="H27" s="80">
        <v>0.29999999999999716</v>
      </c>
      <c r="I27" s="80">
        <v>4268.88</v>
      </c>
      <c r="J27" s="89">
        <v>43</v>
      </c>
      <c r="K27" s="42"/>
      <c r="P27" s="43"/>
      <c r="Q27" s="43"/>
    </row>
    <row r="28" spans="1:17" ht="30">
      <c r="A28" s="74" t="s">
        <v>69</v>
      </c>
      <c r="B28" s="91">
        <v>5.944999999999993</v>
      </c>
      <c r="C28" s="80">
        <v>4.465</v>
      </c>
      <c r="D28" s="81">
        <f t="shared" si="3"/>
        <v>50361.64844407072</v>
      </c>
      <c r="E28" s="81">
        <f t="shared" si="4"/>
        <v>50420.44182021786</v>
      </c>
      <c r="F28" s="82">
        <f t="shared" si="5"/>
        <v>100.04055916709893</v>
      </c>
      <c r="G28" s="80">
        <v>299.4000000000001</v>
      </c>
      <c r="H28" s="80">
        <v>0</v>
      </c>
      <c r="I28" s="80">
        <v>2476.4</v>
      </c>
      <c r="J28" s="89"/>
      <c r="K28" s="42"/>
      <c r="P28" s="43"/>
      <c r="Q28" s="43"/>
    </row>
    <row r="29" spans="1:17" ht="16.5">
      <c r="A29" s="74" t="s">
        <v>26</v>
      </c>
      <c r="B29" s="91">
        <v>2.690000000000005</v>
      </c>
      <c r="C29" s="80">
        <v>2.39</v>
      </c>
      <c r="D29" s="81">
        <f t="shared" si="3"/>
        <v>50399.99999999992</v>
      </c>
      <c r="E29" s="81">
        <f t="shared" si="4"/>
        <v>50400</v>
      </c>
      <c r="F29" s="82">
        <f t="shared" si="5"/>
        <v>100</v>
      </c>
      <c r="G29" s="80">
        <v>135.57600000000002</v>
      </c>
      <c r="H29" s="80">
        <v>18.099999999999994</v>
      </c>
      <c r="I29" s="80">
        <v>1325.016</v>
      </c>
      <c r="J29" s="89">
        <v>124</v>
      </c>
      <c r="K29" s="42"/>
      <c r="P29" s="43"/>
      <c r="Q29" s="43"/>
    </row>
    <row r="30" spans="1:17" ht="16.5">
      <c r="A30" s="74" t="s">
        <v>27</v>
      </c>
      <c r="B30" s="83">
        <v>4.399999999999999</v>
      </c>
      <c r="C30" s="80">
        <v>3.4</v>
      </c>
      <c r="D30" s="81">
        <f t="shared" si="3"/>
        <v>37046.36363636363</v>
      </c>
      <c r="E30" s="81">
        <f t="shared" si="4"/>
        <v>48824.33155080214</v>
      </c>
      <c r="F30" s="82">
        <f t="shared" si="5"/>
        <v>96.87367371190902</v>
      </c>
      <c r="G30" s="80">
        <v>163.0039999999999</v>
      </c>
      <c r="H30" s="80">
        <v>3.9399999999999977</v>
      </c>
      <c r="I30" s="80">
        <v>1826.03</v>
      </c>
      <c r="J30" s="89">
        <v>126.83</v>
      </c>
      <c r="K30" s="42"/>
      <c r="P30" s="43"/>
      <c r="Q30" s="43"/>
    </row>
    <row r="31" spans="1:17" ht="16.5">
      <c r="A31" s="75" t="s">
        <v>28</v>
      </c>
      <c r="B31" s="91">
        <v>3.5999999999999943</v>
      </c>
      <c r="C31" s="80">
        <v>4.6</v>
      </c>
      <c r="D31" s="81">
        <f t="shared" si="3"/>
        <v>50583.33333333339</v>
      </c>
      <c r="E31" s="81">
        <f t="shared" si="4"/>
        <v>47675.88932806325</v>
      </c>
      <c r="F31" s="82">
        <f t="shared" si="5"/>
        <v>94.595018508062</v>
      </c>
      <c r="G31" s="80">
        <v>182.0999999999999</v>
      </c>
      <c r="H31" s="80">
        <v>0</v>
      </c>
      <c r="I31" s="80">
        <v>2412.4</v>
      </c>
      <c r="J31" s="89"/>
      <c r="K31" s="42"/>
      <c r="P31" s="43"/>
      <c r="Q31" s="43"/>
    </row>
    <row r="32" spans="1:17" ht="16.5">
      <c r="A32" s="74" t="s">
        <v>29</v>
      </c>
      <c r="B32" s="83">
        <v>4.700000000000003</v>
      </c>
      <c r="C32" s="80">
        <v>4.7</v>
      </c>
      <c r="D32" s="81">
        <f t="shared" si="3"/>
        <v>46489.36170212763</v>
      </c>
      <c r="E32" s="81">
        <f t="shared" si="4"/>
        <v>49439.071566731145</v>
      </c>
      <c r="F32" s="82">
        <f t="shared" si="5"/>
        <v>98.09339596573639</v>
      </c>
      <c r="G32" s="80">
        <v>218.5</v>
      </c>
      <c r="H32" s="80">
        <v>0.5999999999999943</v>
      </c>
      <c r="I32" s="80">
        <v>2556</v>
      </c>
      <c r="J32" s="89">
        <v>38.3</v>
      </c>
      <c r="K32" s="42"/>
      <c r="P32" s="43"/>
      <c r="Q32" s="43"/>
    </row>
    <row r="33" spans="1:17" ht="30">
      <c r="A33" s="74" t="s">
        <v>30</v>
      </c>
      <c r="B33" s="91">
        <v>5.997</v>
      </c>
      <c r="C33" s="80">
        <v>5.727</v>
      </c>
      <c r="D33" s="81">
        <f t="shared" si="3"/>
        <v>43321.66083041516</v>
      </c>
      <c r="E33" s="81">
        <f t="shared" si="4"/>
        <v>49600.77464006222</v>
      </c>
      <c r="F33" s="82">
        <f t="shared" si="5"/>
        <v>98.41423539694884</v>
      </c>
      <c r="G33" s="80">
        <v>259.7999999999997</v>
      </c>
      <c r="H33" s="80">
        <v>0</v>
      </c>
      <c r="I33" s="80">
        <v>3124.7</v>
      </c>
      <c r="J33" s="89"/>
      <c r="K33" s="42"/>
      <c r="P33" s="43"/>
      <c r="Q33" s="43"/>
    </row>
    <row r="34" spans="1:17" ht="30">
      <c r="A34" s="74" t="s">
        <v>70</v>
      </c>
      <c r="B34" s="83">
        <v>2.5</v>
      </c>
      <c r="C34" s="80">
        <v>2.5</v>
      </c>
      <c r="D34" s="81">
        <f t="shared" si="3"/>
        <v>49800</v>
      </c>
      <c r="E34" s="81">
        <f t="shared" si="4"/>
        <v>50600</v>
      </c>
      <c r="F34" s="82">
        <f t="shared" si="5"/>
        <v>100.39682539682539</v>
      </c>
      <c r="G34" s="80">
        <v>124.5</v>
      </c>
      <c r="H34" s="80">
        <v>0</v>
      </c>
      <c r="I34" s="80">
        <v>1391.5</v>
      </c>
      <c r="J34" s="89"/>
      <c r="K34" s="42"/>
      <c r="P34" s="43"/>
      <c r="Q34" s="43"/>
    </row>
    <row r="35" spans="1:17" ht="16.5">
      <c r="A35" s="74" t="s">
        <v>32</v>
      </c>
      <c r="B35" s="83">
        <v>10.199999999999989</v>
      </c>
      <c r="C35" s="80">
        <v>8.2</v>
      </c>
      <c r="D35" s="81">
        <f t="shared" si="3"/>
        <v>52764.70588235299</v>
      </c>
      <c r="E35" s="81">
        <f t="shared" si="4"/>
        <v>50691.79600886918</v>
      </c>
      <c r="F35" s="82">
        <f t="shared" si="5"/>
        <v>100.57896033505791</v>
      </c>
      <c r="G35" s="80">
        <v>538.1999999999998</v>
      </c>
      <c r="H35" s="80">
        <v>13.799999999999997</v>
      </c>
      <c r="I35" s="80">
        <v>4572.4</v>
      </c>
      <c r="J35" s="89">
        <v>82.3</v>
      </c>
      <c r="K35" s="42"/>
      <c r="P35" s="43"/>
      <c r="Q35" s="43"/>
    </row>
    <row r="36" spans="1:17" ht="30">
      <c r="A36" s="74" t="s">
        <v>71</v>
      </c>
      <c r="B36" s="83">
        <v>4.2499999999999964</v>
      </c>
      <c r="C36" s="80">
        <v>3.05</v>
      </c>
      <c r="D36" s="81">
        <f t="shared" si="3"/>
        <v>59341.176470588296</v>
      </c>
      <c r="E36" s="81">
        <f t="shared" si="4"/>
        <v>51654.24739195232</v>
      </c>
      <c r="F36" s="82">
        <f t="shared" si="5"/>
        <v>102.48858609514349</v>
      </c>
      <c r="G36" s="80">
        <v>252.20000000000005</v>
      </c>
      <c r="H36" s="80">
        <v>0</v>
      </c>
      <c r="I36" s="80">
        <v>1733</v>
      </c>
      <c r="J36" s="89"/>
      <c r="K36" s="42"/>
      <c r="P36" s="43"/>
      <c r="Q36" s="43"/>
    </row>
    <row r="37" spans="1:17" ht="16.5">
      <c r="A37" s="74" t="s">
        <v>72</v>
      </c>
      <c r="B37" s="91">
        <v>8.699999999999989</v>
      </c>
      <c r="C37" s="80">
        <v>8.6</v>
      </c>
      <c r="D37" s="81">
        <f t="shared" si="3"/>
        <v>51850.57471264368</v>
      </c>
      <c r="E37" s="81">
        <f t="shared" si="4"/>
        <v>50522.19873150105</v>
      </c>
      <c r="F37" s="82">
        <f t="shared" si="5"/>
        <v>100.24245780059732</v>
      </c>
      <c r="G37" s="80">
        <v>451.09999999999945</v>
      </c>
      <c r="H37" s="80">
        <v>0</v>
      </c>
      <c r="I37" s="80">
        <v>4779.4</v>
      </c>
      <c r="J37" s="89"/>
      <c r="K37" s="42"/>
      <c r="P37" s="43"/>
      <c r="Q37" s="43"/>
    </row>
    <row r="38" spans="1:17" ht="30">
      <c r="A38" s="74" t="s">
        <v>73</v>
      </c>
      <c r="B38" s="83">
        <v>3.493000000000002</v>
      </c>
      <c r="C38" s="80">
        <v>3.163</v>
      </c>
      <c r="D38" s="81">
        <f t="shared" si="3"/>
        <v>50357.85857429144</v>
      </c>
      <c r="E38" s="81">
        <f t="shared" si="4"/>
        <v>50398.06857701262</v>
      </c>
      <c r="F38" s="82">
        <f t="shared" si="5"/>
        <v>99.99616781153297</v>
      </c>
      <c r="G38" s="80">
        <v>175.9000000000001</v>
      </c>
      <c r="H38" s="80">
        <v>0</v>
      </c>
      <c r="I38" s="80">
        <v>1753.5</v>
      </c>
      <c r="J38" s="89"/>
      <c r="K38" s="42"/>
      <c r="P38" s="43"/>
      <c r="Q38" s="43"/>
    </row>
    <row r="39" spans="1:17" ht="30">
      <c r="A39" s="74" t="s">
        <v>36</v>
      </c>
      <c r="B39" s="83">
        <v>4.400000000000006</v>
      </c>
      <c r="C39" s="80">
        <v>4.4</v>
      </c>
      <c r="D39" s="81">
        <f t="shared" si="3"/>
        <v>43272.727272727236</v>
      </c>
      <c r="E39" s="81">
        <f t="shared" si="4"/>
        <v>49398.76033057851</v>
      </c>
      <c r="F39" s="82">
        <f t="shared" si="5"/>
        <v>98.01341335432244</v>
      </c>
      <c r="G39" s="80">
        <v>190.4000000000001</v>
      </c>
      <c r="H39" s="80">
        <v>0</v>
      </c>
      <c r="I39" s="80">
        <v>2390.9</v>
      </c>
      <c r="J39" s="89"/>
      <c r="K39" s="42"/>
      <c r="P39" s="43"/>
      <c r="Q39" s="43"/>
    </row>
    <row r="40" spans="1:17" ht="16.5">
      <c r="A40" s="74" t="s">
        <v>74</v>
      </c>
      <c r="B40" s="83">
        <v>8.599999999999994</v>
      </c>
      <c r="C40" s="80">
        <v>8.6</v>
      </c>
      <c r="D40" s="81">
        <f t="shared" si="3"/>
        <v>52261.51162790707</v>
      </c>
      <c r="E40" s="81">
        <f t="shared" si="4"/>
        <v>50782.34672304441</v>
      </c>
      <c r="F40" s="82">
        <f t="shared" si="5"/>
        <v>100.75862445048493</v>
      </c>
      <c r="G40" s="80">
        <v>449.4490000000005</v>
      </c>
      <c r="H40" s="80">
        <v>0</v>
      </c>
      <c r="I40" s="80">
        <v>4804.01</v>
      </c>
      <c r="J40" s="89">
        <v>0.227</v>
      </c>
      <c r="K40" s="42"/>
      <c r="P40" s="43"/>
      <c r="Q40" s="43"/>
    </row>
    <row r="41" spans="1:17" ht="16.5">
      <c r="A41" s="74" t="s">
        <v>38</v>
      </c>
      <c r="B41" s="83">
        <v>17.399999999999977</v>
      </c>
      <c r="C41" s="80">
        <v>19.4</v>
      </c>
      <c r="D41" s="81">
        <f t="shared" si="3"/>
        <v>50400.00000000012</v>
      </c>
      <c r="E41" s="81">
        <f t="shared" si="4"/>
        <v>50400.00000000001</v>
      </c>
      <c r="F41" s="82">
        <f t="shared" si="5"/>
        <v>100.00000000000003</v>
      </c>
      <c r="G41" s="80">
        <v>876.960000000001</v>
      </c>
      <c r="H41" s="80">
        <v>14.700000000000003</v>
      </c>
      <c r="I41" s="80">
        <v>10755.36</v>
      </c>
      <c r="J41" s="89">
        <v>81.9</v>
      </c>
      <c r="K41" s="42"/>
      <c r="P41" s="43"/>
      <c r="Q41" s="43"/>
    </row>
    <row r="42" spans="1:17" ht="30">
      <c r="A42" s="76" t="s">
        <v>39</v>
      </c>
      <c r="B42" s="85">
        <v>4.179999999999993</v>
      </c>
      <c r="C42" s="86">
        <v>3.84</v>
      </c>
      <c r="D42" s="87">
        <f t="shared" si="3"/>
        <v>53827.75119617234</v>
      </c>
      <c r="E42" s="81">
        <f t="shared" si="4"/>
        <v>54341.85606060607</v>
      </c>
      <c r="F42" s="82">
        <f t="shared" si="5"/>
        <v>107.82114297739301</v>
      </c>
      <c r="G42" s="86">
        <v>225</v>
      </c>
      <c r="H42" s="86">
        <v>0</v>
      </c>
      <c r="I42" s="86">
        <v>2295.4</v>
      </c>
      <c r="J42" s="90"/>
      <c r="K42" s="42"/>
      <c r="P42" s="43"/>
      <c r="Q42" s="43"/>
    </row>
    <row r="43" spans="1:17" s="56" customFormat="1" ht="16.5">
      <c r="A43" s="77" t="s">
        <v>46</v>
      </c>
      <c r="B43" s="92">
        <f>SUM(B22:B42)</f>
        <v>131.4459999999999</v>
      </c>
      <c r="C43" s="92">
        <f>SUM(C22:C42)</f>
        <v>129.416</v>
      </c>
      <c r="D43" s="92">
        <f>_xlfn.IFERROR(G43/B43*1000,0)</f>
        <v>49925.96959968355</v>
      </c>
      <c r="E43" s="92">
        <f>_xlfn.IFERROR(I43/C43/$K$1*1000,0)</f>
        <v>50316.94549500694</v>
      </c>
      <c r="F43" s="93">
        <f>_xlfn.IFERROR(E43/$I$2*100,0)</f>
        <v>99.83520931548996</v>
      </c>
      <c r="G43" s="92">
        <f>SUM(G22:G42)</f>
        <v>6562.5689999999995</v>
      </c>
      <c r="H43" s="92">
        <f>SUM(H22:H42)</f>
        <v>76.83999999999996</v>
      </c>
      <c r="I43" s="92">
        <f>SUM(I22:I42)</f>
        <v>71629.996</v>
      </c>
      <c r="J43" s="92">
        <f>SUM(J22:J42)</f>
        <v>702.1569999999999</v>
      </c>
      <c r="K43" s="94"/>
      <c r="P43" s="55"/>
      <c r="Q43" s="55"/>
    </row>
    <row r="44" spans="1:17" s="56" customFormat="1" ht="16.5">
      <c r="A44" s="78" t="s">
        <v>75</v>
      </c>
      <c r="B44" s="85">
        <v>2</v>
      </c>
      <c r="C44" s="86">
        <v>1.8</v>
      </c>
      <c r="D44" s="87">
        <f>_xlfn.IFERROR(G44/B44*1000,0)</f>
        <v>54050</v>
      </c>
      <c r="E44" s="81">
        <f>_xlfn.IFERROR(I44/C44/$K$1*1000,0)</f>
        <v>50818.18181818182</v>
      </c>
      <c r="F44" s="82">
        <f>_xlfn.IFERROR(E44/$I$2*100,0)</f>
        <v>100.82972582972585</v>
      </c>
      <c r="G44" s="86">
        <v>108.1</v>
      </c>
      <c r="H44" s="86">
        <v>0</v>
      </c>
      <c r="I44" s="86">
        <v>1006.2</v>
      </c>
      <c r="J44" s="90"/>
      <c r="K44" s="94"/>
      <c r="P44" s="55"/>
      <c r="Q44" s="55"/>
    </row>
    <row r="45" spans="1:10" ht="16.5">
      <c r="A45" s="77" t="s">
        <v>47</v>
      </c>
      <c r="B45" s="92">
        <f>B21+B43+B44</f>
        <v>584.7709999999998</v>
      </c>
      <c r="C45" s="92">
        <f>C21+C43+C44</f>
        <v>584.741</v>
      </c>
      <c r="D45" s="92">
        <f>_xlfn.IFERROR(G45/B45*1000,0)</f>
        <v>48810.69512681033</v>
      </c>
      <c r="E45" s="92">
        <f>_xlfn.IFERROR(I45/C45/$K$1*1000,0)</f>
        <v>50393.64063436945</v>
      </c>
      <c r="F45" s="93">
        <f>_xlfn.IFERROR(E45/$I$2*100,0)</f>
        <v>99.98738221105049</v>
      </c>
      <c r="G45" s="92">
        <f>G21+G43+G44</f>
        <v>28543.078999999998</v>
      </c>
      <c r="H45" s="92">
        <f>H21+H43+H44</f>
        <v>256.08</v>
      </c>
      <c r="I45" s="92">
        <f>I21+I43+I44</f>
        <v>324139.50600000005</v>
      </c>
      <c r="J45" s="92">
        <f>J21+J43+J44</f>
        <v>1511.6970000000001</v>
      </c>
    </row>
    <row r="48" spans="2:3" ht="16.5">
      <c r="B48" s="50"/>
      <c r="C48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28">
      <selection activeCell="P39" sqref="P39"/>
    </sheetView>
  </sheetViews>
  <sheetFormatPr defaultColWidth="9.140625" defaultRowHeight="15"/>
  <cols>
    <col min="1" max="1" width="30.140625" style="49" customWidth="1"/>
    <col min="2" max="3" width="18.7109375" style="50" customWidth="1"/>
    <col min="4" max="4" width="17.57421875" style="36" customWidth="1"/>
    <col min="5" max="5" width="13.57421875" style="50" customWidth="1"/>
    <col min="6" max="6" width="18.140625" style="51" customWidth="1"/>
    <col min="7" max="7" width="14.00390625" style="50" customWidth="1"/>
    <col min="8" max="8" width="13.00390625" style="50" customWidth="1"/>
    <col min="9" max="9" width="16.140625" style="50" customWidth="1"/>
    <col min="10" max="10" width="13.57421875" style="52" customWidth="1"/>
    <col min="11" max="11" width="11.8515625" style="52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37" t="s">
        <v>63</v>
      </c>
      <c r="K1" s="37">
        <f>VLOOKUP(month,месяцы!$A$1:$B$12,2,FALSE)</f>
        <v>11</v>
      </c>
    </row>
    <row r="2" spans="1:11" ht="16.5">
      <c r="A2" s="12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8"/>
      <c r="C2" s="128"/>
      <c r="D2" s="128"/>
      <c r="E2" s="128"/>
      <c r="F2" s="128"/>
      <c r="G2" s="39"/>
      <c r="H2" s="40"/>
      <c r="I2" s="41">
        <v>50400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(ноябрь)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5"/>
    </row>
    <row r="4" spans="1:17" ht="16.5">
      <c r="A4" s="69" t="s">
        <v>2</v>
      </c>
      <c r="B4" s="79">
        <v>59.299999999999955</v>
      </c>
      <c r="C4" s="80">
        <v>59.3</v>
      </c>
      <c r="D4" s="81">
        <f>_xlfn.IFERROR(G4/B4*1000,0)</f>
        <v>43952.78246205734</v>
      </c>
      <c r="E4" s="81">
        <f>_xlfn.IFERROR(I4/C4/$K$1*1000,0)</f>
        <v>47918.595738157295</v>
      </c>
      <c r="F4" s="82">
        <f>_xlfn.IFERROR(E4/$I$2*100,0)</f>
        <v>95.07657884555019</v>
      </c>
      <c r="G4" s="80">
        <v>2606.399999999998</v>
      </c>
      <c r="H4" s="80">
        <v>0</v>
      </c>
      <c r="I4" s="83">
        <v>31257.3</v>
      </c>
      <c r="J4" s="89"/>
      <c r="K4" s="42"/>
      <c r="P4" s="43"/>
      <c r="Q4" s="43"/>
    </row>
    <row r="5" spans="1:17" ht="16.5">
      <c r="A5" s="69" t="s">
        <v>3</v>
      </c>
      <c r="B5" s="79">
        <v>19.014999999999986</v>
      </c>
      <c r="C5" s="80">
        <v>21.465</v>
      </c>
      <c r="D5" s="81">
        <f aca="true" t="shared" si="0" ref="D5:D20">_xlfn.IFERROR(G5/B5*1000,0)</f>
        <v>50386.536944517546</v>
      </c>
      <c r="E5" s="81">
        <f aca="true" t="shared" si="1" ref="E5:E20">_xlfn.IFERROR(I5/C5/$K$1*1000,0)</f>
        <v>50398.74637358914</v>
      </c>
      <c r="F5" s="82">
        <f aca="true" t="shared" si="2" ref="F5:F20">_xlfn.IFERROR(E5/$I$2*100,0)</f>
        <v>99.9975126460102</v>
      </c>
      <c r="G5" s="80">
        <v>958.1000000000004</v>
      </c>
      <c r="H5" s="80">
        <v>3.1000000000000005</v>
      </c>
      <c r="I5" s="83">
        <v>11899.9</v>
      </c>
      <c r="J5" s="89">
        <v>8.8</v>
      </c>
      <c r="K5" s="42"/>
      <c r="P5" s="43"/>
      <c r="Q5" s="43"/>
    </row>
    <row r="6" spans="1:17" ht="16.5">
      <c r="A6" s="69" t="s">
        <v>4</v>
      </c>
      <c r="B6" s="79">
        <v>52.98000000000013</v>
      </c>
      <c r="C6" s="80">
        <v>52.88</v>
      </c>
      <c r="D6" s="81">
        <f t="shared" si="0"/>
        <v>50515.28878822183</v>
      </c>
      <c r="E6" s="81">
        <f t="shared" si="1"/>
        <v>50443.02709393481</v>
      </c>
      <c r="F6" s="82">
        <f t="shared" si="2"/>
        <v>100.08537121812462</v>
      </c>
      <c r="G6" s="80">
        <v>2676.2999999999993</v>
      </c>
      <c r="H6" s="80">
        <v>0</v>
      </c>
      <c r="I6" s="83">
        <v>29341.7</v>
      </c>
      <c r="J6" s="89"/>
      <c r="K6" s="42"/>
      <c r="P6" s="43"/>
      <c r="Q6" s="43"/>
    </row>
    <row r="7" spans="1:17" ht="16.5">
      <c r="A7" s="69" t="s">
        <v>6</v>
      </c>
      <c r="B7" s="79">
        <v>53.700000000000045</v>
      </c>
      <c r="C7" s="80">
        <v>51.7</v>
      </c>
      <c r="D7" s="81">
        <f t="shared" si="0"/>
        <v>50007.44878957168</v>
      </c>
      <c r="E7" s="81">
        <f t="shared" si="1"/>
        <v>50433.79637770354</v>
      </c>
      <c r="F7" s="82">
        <f t="shared" si="2"/>
        <v>100.06705630496735</v>
      </c>
      <c r="G7" s="80">
        <v>2685.4000000000015</v>
      </c>
      <c r="H7" s="80">
        <v>0</v>
      </c>
      <c r="I7" s="83">
        <v>28681.7</v>
      </c>
      <c r="J7" s="89"/>
      <c r="K7" s="42"/>
      <c r="P7" s="43"/>
      <c r="Q7" s="43"/>
    </row>
    <row r="8" spans="1:17" ht="16.5">
      <c r="A8" s="69" t="s">
        <v>7</v>
      </c>
      <c r="B8" s="83">
        <v>14.597000000000008</v>
      </c>
      <c r="C8" s="80">
        <v>13.527</v>
      </c>
      <c r="D8" s="81">
        <f t="shared" si="0"/>
        <v>50407.618003699376</v>
      </c>
      <c r="E8" s="81">
        <f t="shared" si="1"/>
        <v>50539.99744618507</v>
      </c>
      <c r="F8" s="82">
        <f t="shared" si="2"/>
        <v>100.27777271068467</v>
      </c>
      <c r="G8" s="80">
        <v>735.8000000000002</v>
      </c>
      <c r="H8" s="80">
        <v>12.340000000000032</v>
      </c>
      <c r="I8" s="83">
        <v>7520.2</v>
      </c>
      <c r="J8" s="89">
        <v>367.24</v>
      </c>
      <c r="K8" s="42"/>
      <c r="P8" s="43"/>
      <c r="Q8" s="43"/>
    </row>
    <row r="9" spans="1:17" s="44" customFormat="1" ht="16.5">
      <c r="A9" s="69" t="s">
        <v>8</v>
      </c>
      <c r="B9" s="83">
        <v>83.00400000000002</v>
      </c>
      <c r="C9" s="80">
        <v>86.114</v>
      </c>
      <c r="D9" s="81">
        <f t="shared" si="0"/>
        <v>50022.89046311018</v>
      </c>
      <c r="E9" s="81">
        <f t="shared" si="1"/>
        <v>50339.718808260506</v>
      </c>
      <c r="F9" s="82">
        <f t="shared" si="2"/>
        <v>99.88039446083434</v>
      </c>
      <c r="G9" s="80">
        <v>4152.0999999999985</v>
      </c>
      <c r="H9" s="80">
        <v>0</v>
      </c>
      <c r="I9" s="83">
        <v>47684.5</v>
      </c>
      <c r="J9" s="89"/>
      <c r="K9" s="42"/>
      <c r="P9" s="43"/>
      <c r="Q9" s="43"/>
    </row>
    <row r="10" spans="1:17" ht="16.5">
      <c r="A10" s="69" t="s">
        <v>9</v>
      </c>
      <c r="B10" s="83">
        <v>10.939999999999998</v>
      </c>
      <c r="C10" s="80">
        <v>8</v>
      </c>
      <c r="D10" s="81">
        <f t="shared" si="0"/>
        <v>36428.70201096895</v>
      </c>
      <c r="E10" s="81">
        <f t="shared" si="1"/>
        <v>48478.409090909096</v>
      </c>
      <c r="F10" s="82">
        <f t="shared" si="2"/>
        <v>96.18731962481964</v>
      </c>
      <c r="G10" s="80">
        <v>398.5300000000002</v>
      </c>
      <c r="H10" s="80">
        <v>12.800000000000011</v>
      </c>
      <c r="I10" s="83">
        <v>4266.1</v>
      </c>
      <c r="J10" s="89">
        <v>114.9</v>
      </c>
      <c r="K10" s="42"/>
      <c r="P10" s="43"/>
      <c r="Q10" s="43"/>
    </row>
    <row r="11" spans="1:17" ht="16.5">
      <c r="A11" s="69" t="s">
        <v>10</v>
      </c>
      <c r="B11" s="83">
        <v>7.503</v>
      </c>
      <c r="C11" s="80">
        <v>8.873</v>
      </c>
      <c r="D11" s="81">
        <f t="shared" si="0"/>
        <v>45341.863254698095</v>
      </c>
      <c r="E11" s="81">
        <f t="shared" si="1"/>
        <v>50021.00345276272</v>
      </c>
      <c r="F11" s="82">
        <f t="shared" si="2"/>
        <v>99.24802272373556</v>
      </c>
      <c r="G11" s="80">
        <v>340.1999999999998</v>
      </c>
      <c r="H11" s="80">
        <v>0</v>
      </c>
      <c r="I11" s="83">
        <v>4882.2</v>
      </c>
      <c r="J11" s="89"/>
      <c r="K11" s="42"/>
      <c r="P11" s="43"/>
      <c r="Q11" s="43"/>
    </row>
    <row r="12" spans="1:17" s="44" customFormat="1" ht="16.5">
      <c r="A12" s="70" t="s">
        <v>11</v>
      </c>
      <c r="B12" s="84">
        <v>14.995000000000005</v>
      </c>
      <c r="C12" s="80">
        <v>15.245</v>
      </c>
      <c r="D12" s="81">
        <f t="shared" si="0"/>
        <v>49223.07435811938</v>
      </c>
      <c r="E12" s="81">
        <f t="shared" si="1"/>
        <v>48418.25933987298</v>
      </c>
      <c r="F12" s="82">
        <f t="shared" si="2"/>
        <v>96.06797488070036</v>
      </c>
      <c r="G12" s="80">
        <v>738.1000000000004</v>
      </c>
      <c r="H12" s="80">
        <v>0</v>
      </c>
      <c r="I12" s="83">
        <v>8119.5</v>
      </c>
      <c r="J12" s="89"/>
      <c r="K12" s="42"/>
      <c r="P12" s="43"/>
      <c r="Q12" s="43"/>
    </row>
    <row r="13" spans="1:17" s="45" customFormat="1" ht="16.5">
      <c r="A13" s="69" t="s">
        <v>12</v>
      </c>
      <c r="B13" s="83">
        <v>55.39999999999998</v>
      </c>
      <c r="C13" s="80">
        <v>53.4</v>
      </c>
      <c r="D13" s="81">
        <f t="shared" si="0"/>
        <v>48005.4151624549</v>
      </c>
      <c r="E13" s="81">
        <f t="shared" si="1"/>
        <v>50068.09669731019</v>
      </c>
      <c r="F13" s="82">
        <f t="shared" si="2"/>
        <v>99.34146170101228</v>
      </c>
      <c r="G13" s="80">
        <v>2659.5</v>
      </c>
      <c r="H13" s="80">
        <v>0.19999999999998863</v>
      </c>
      <c r="I13" s="83">
        <v>29410</v>
      </c>
      <c r="J13" s="89">
        <v>196.5</v>
      </c>
      <c r="K13" s="42"/>
      <c r="L13" s="44"/>
      <c r="P13" s="43"/>
      <c r="Q13" s="43"/>
    </row>
    <row r="14" spans="1:17" s="44" customFormat="1" ht="30">
      <c r="A14" s="70" t="s">
        <v>13</v>
      </c>
      <c r="B14" s="84">
        <v>101.731</v>
      </c>
      <c r="C14" s="80">
        <v>106.631</v>
      </c>
      <c r="D14" s="81">
        <f>_xlfn.IFERROR(G14/B14*1000,0)</f>
        <v>47059.40175561033</v>
      </c>
      <c r="E14" s="81">
        <f t="shared" si="1"/>
        <v>49969.86208172448</v>
      </c>
      <c r="F14" s="82">
        <f t="shared" si="2"/>
        <v>99.14655174945334</v>
      </c>
      <c r="G14" s="80">
        <v>4787.399999999994</v>
      </c>
      <c r="H14" s="80">
        <v>0</v>
      </c>
      <c r="I14" s="83">
        <v>58611.7</v>
      </c>
      <c r="J14" s="89"/>
      <c r="K14" s="42"/>
      <c r="P14" s="43"/>
      <c r="Q14" s="43"/>
    </row>
    <row r="15" spans="1:17" s="44" customFormat="1" ht="16.5">
      <c r="A15" s="69" t="s">
        <v>14</v>
      </c>
      <c r="B15" s="83">
        <v>63.5</v>
      </c>
      <c r="C15" s="80">
        <v>60.5</v>
      </c>
      <c r="D15" s="81">
        <f t="shared" si="0"/>
        <v>42207.87401574804</v>
      </c>
      <c r="E15" s="81">
        <f t="shared" si="1"/>
        <v>47881.292261457544</v>
      </c>
      <c r="F15" s="82">
        <f t="shared" si="2"/>
        <v>95.00256401082846</v>
      </c>
      <c r="G15" s="80">
        <v>2680.2000000000007</v>
      </c>
      <c r="H15" s="80">
        <v>0</v>
      </c>
      <c r="I15" s="83">
        <v>31865</v>
      </c>
      <c r="J15" s="89"/>
      <c r="K15" s="42"/>
      <c r="P15" s="43"/>
      <c r="Q15" s="43"/>
    </row>
    <row r="16" spans="1:17" s="44" customFormat="1" ht="16.5">
      <c r="A16" s="71" t="s">
        <v>65</v>
      </c>
      <c r="B16" s="83">
        <v>75.29999999999995</v>
      </c>
      <c r="C16" s="80">
        <v>80.3</v>
      </c>
      <c r="D16" s="81">
        <f t="shared" si="0"/>
        <v>50399.73439575044</v>
      </c>
      <c r="E16" s="81">
        <f t="shared" si="1"/>
        <v>50399.97735763614</v>
      </c>
      <c r="F16" s="82">
        <f t="shared" si="2"/>
        <v>99.99995507467489</v>
      </c>
      <c r="G16" s="80">
        <v>3795.100000000006</v>
      </c>
      <c r="H16" s="80">
        <v>0</v>
      </c>
      <c r="I16" s="83">
        <v>44518.3</v>
      </c>
      <c r="J16" s="89"/>
      <c r="K16" s="42"/>
      <c r="P16" s="43"/>
      <c r="Q16" s="43"/>
    </row>
    <row r="17" spans="1:17" s="44" customFormat="1" ht="30">
      <c r="A17" s="69" t="s">
        <v>66</v>
      </c>
      <c r="B17" s="83">
        <v>32</v>
      </c>
      <c r="C17" s="80">
        <v>32</v>
      </c>
      <c r="D17" s="81">
        <f t="shared" si="0"/>
        <v>52290.62499999998</v>
      </c>
      <c r="E17" s="81">
        <f t="shared" si="1"/>
        <v>50571.875</v>
      </c>
      <c r="F17" s="82">
        <f t="shared" si="2"/>
        <v>100.34102182539681</v>
      </c>
      <c r="G17" s="80">
        <v>1673.2999999999993</v>
      </c>
      <c r="H17" s="80">
        <v>50.3</v>
      </c>
      <c r="I17" s="83">
        <v>17801.3</v>
      </c>
      <c r="J17" s="89">
        <v>50.3</v>
      </c>
      <c r="K17" s="42"/>
      <c r="P17" s="43"/>
      <c r="Q17" s="43"/>
    </row>
    <row r="18" spans="1:17" ht="16.5">
      <c r="A18" s="69" t="s">
        <v>16</v>
      </c>
      <c r="B18" s="83">
        <v>85.59999999999991</v>
      </c>
      <c r="C18" s="80">
        <v>87.6</v>
      </c>
      <c r="D18" s="81">
        <f t="shared" si="0"/>
        <v>50400.00000000011</v>
      </c>
      <c r="E18" s="81">
        <f t="shared" si="1"/>
        <v>50400.00000000001</v>
      </c>
      <c r="F18" s="82">
        <f t="shared" si="2"/>
        <v>100.00000000000003</v>
      </c>
      <c r="G18" s="80">
        <v>4314.240000000005</v>
      </c>
      <c r="H18" s="80">
        <v>0</v>
      </c>
      <c r="I18" s="83">
        <v>48565.44</v>
      </c>
      <c r="J18" s="89"/>
      <c r="K18" s="42"/>
      <c r="P18" s="43"/>
      <c r="Q18" s="43"/>
    </row>
    <row r="19" spans="1:17" ht="16.5">
      <c r="A19" s="69" t="s">
        <v>17</v>
      </c>
      <c r="B19" s="83">
        <v>14.300000000000011</v>
      </c>
      <c r="C19" s="80">
        <v>14.3</v>
      </c>
      <c r="D19" s="81">
        <f t="shared" si="0"/>
        <v>50398.60139860134</v>
      </c>
      <c r="E19" s="81">
        <f t="shared" si="1"/>
        <v>50399.8728544183</v>
      </c>
      <c r="F19" s="82">
        <f t="shared" si="2"/>
        <v>99.99974772702043</v>
      </c>
      <c r="G19" s="80">
        <v>720.6999999999998</v>
      </c>
      <c r="H19" s="80">
        <v>0</v>
      </c>
      <c r="I19" s="83">
        <v>7927.9</v>
      </c>
      <c r="J19" s="89"/>
      <c r="K19" s="42"/>
      <c r="P19" s="43"/>
      <c r="Q19" s="43"/>
    </row>
    <row r="20" spans="1:17" ht="16.5">
      <c r="A20" s="72" t="s">
        <v>67</v>
      </c>
      <c r="B20" s="85">
        <v>0.0020000000000000018</v>
      </c>
      <c r="C20" s="86">
        <v>0.132</v>
      </c>
      <c r="D20" s="87">
        <f t="shared" si="0"/>
        <v>0</v>
      </c>
      <c r="E20" s="81">
        <f t="shared" si="1"/>
        <v>54614.32506887052</v>
      </c>
      <c r="F20" s="82">
        <f t="shared" si="2"/>
        <v>108.3617560890288</v>
      </c>
      <c r="G20" s="86">
        <v>0</v>
      </c>
      <c r="H20" s="86">
        <v>0</v>
      </c>
      <c r="I20" s="85">
        <v>79.3</v>
      </c>
      <c r="J20" s="90">
        <v>10.1</v>
      </c>
      <c r="K20" s="42"/>
      <c r="P20" s="43"/>
      <c r="Q20" s="43"/>
    </row>
    <row r="21" spans="1:17" s="47" customFormat="1" ht="16.5">
      <c r="A21" s="73" t="s">
        <v>45</v>
      </c>
      <c r="B21" s="92">
        <f>SUM(B4:B20)</f>
        <v>743.867</v>
      </c>
      <c r="C21" s="92">
        <f>SUM(C4:C20)</f>
        <v>751.9669999999999</v>
      </c>
      <c r="D21" s="92">
        <f>_xlfn.IFERROR(G21/B21*1000,0)</f>
        <v>48290.043784708825</v>
      </c>
      <c r="E21" s="92">
        <f>_xlfn.IFERROR(I21/C21/$K$1*1000,0)</f>
        <v>49860.993658208165</v>
      </c>
      <c r="F21" s="93">
        <f>_xlfn.IFERROR(E21/$I$2*100,0)</f>
        <v>98.93054297263525</v>
      </c>
      <c r="G21" s="92">
        <f>SUM(G4:G20)</f>
        <v>35921.37</v>
      </c>
      <c r="H21" s="92">
        <f>SUM(H4:H20)</f>
        <v>78.74000000000004</v>
      </c>
      <c r="I21" s="92">
        <f>SUM(I4:I20)</f>
        <v>412432.04</v>
      </c>
      <c r="J21" s="92">
        <f>SUM(J4:J20)</f>
        <v>747.84</v>
      </c>
      <c r="K21" s="46"/>
      <c r="O21" s="48"/>
      <c r="P21" s="48"/>
      <c r="Q21" s="48"/>
    </row>
    <row r="22" spans="1:17" ht="30">
      <c r="A22" s="74" t="s">
        <v>19</v>
      </c>
      <c r="B22" s="83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82">
        <f aca="true" t="shared" si="5" ref="F22:F42">_xlfn.IFERROR(E22/$I$2*100,0)</f>
        <v>0</v>
      </c>
      <c r="G22" s="80">
        <v>0</v>
      </c>
      <c r="H22" s="80">
        <v>0</v>
      </c>
      <c r="I22" s="80"/>
      <c r="J22" s="89"/>
      <c r="K22" s="42"/>
      <c r="P22" s="43"/>
      <c r="Q22" s="43"/>
    </row>
    <row r="23" spans="1:17" ht="30">
      <c r="A23" s="74" t="s">
        <v>68</v>
      </c>
      <c r="B23" s="83">
        <v>0</v>
      </c>
      <c r="C23" s="80"/>
      <c r="D23" s="81">
        <f t="shared" si="3"/>
        <v>0</v>
      </c>
      <c r="E23" s="81">
        <f t="shared" si="4"/>
        <v>0</v>
      </c>
      <c r="F23" s="82">
        <f t="shared" si="5"/>
        <v>0</v>
      </c>
      <c r="G23" s="80">
        <v>0</v>
      </c>
      <c r="H23" s="80">
        <v>0</v>
      </c>
      <c r="I23" s="80"/>
      <c r="J23" s="89"/>
      <c r="K23" s="42"/>
      <c r="P23" s="43"/>
      <c r="Q23" s="43"/>
    </row>
    <row r="24" spans="1:17" ht="30">
      <c r="A24" s="74" t="s">
        <v>21</v>
      </c>
      <c r="B24" s="83">
        <v>0</v>
      </c>
      <c r="C24" s="80"/>
      <c r="D24" s="81">
        <f t="shared" si="3"/>
        <v>0</v>
      </c>
      <c r="E24" s="81">
        <f t="shared" si="4"/>
        <v>0</v>
      </c>
      <c r="F24" s="82">
        <f t="shared" si="5"/>
        <v>0</v>
      </c>
      <c r="G24" s="80">
        <v>0</v>
      </c>
      <c r="H24" s="80">
        <v>0</v>
      </c>
      <c r="I24" s="80"/>
      <c r="J24" s="89"/>
      <c r="K24" s="42"/>
      <c r="P24" s="43"/>
      <c r="Q24" s="43"/>
    </row>
    <row r="25" spans="1:17" ht="30">
      <c r="A25" s="74" t="s">
        <v>22</v>
      </c>
      <c r="B25" s="83">
        <v>0.48999999999999977</v>
      </c>
      <c r="C25" s="80">
        <v>0.29</v>
      </c>
      <c r="D25" s="81">
        <f t="shared" si="3"/>
        <v>43469.387755102085</v>
      </c>
      <c r="E25" s="81">
        <f t="shared" si="4"/>
        <v>48432.601880877744</v>
      </c>
      <c r="F25" s="82">
        <f t="shared" si="5"/>
        <v>96.09643230332885</v>
      </c>
      <c r="G25" s="80">
        <v>21.30000000000001</v>
      </c>
      <c r="H25" s="80">
        <v>0</v>
      </c>
      <c r="I25" s="80">
        <v>154.5</v>
      </c>
      <c r="J25" s="89"/>
      <c r="K25" s="42"/>
      <c r="P25" s="43"/>
      <c r="Q25" s="43"/>
    </row>
    <row r="26" spans="1:17" ht="30">
      <c r="A26" s="74" t="s">
        <v>23</v>
      </c>
      <c r="B26" s="83">
        <v>0</v>
      </c>
      <c r="C26" s="80"/>
      <c r="D26" s="81">
        <f t="shared" si="3"/>
        <v>0</v>
      </c>
      <c r="E26" s="81">
        <f t="shared" si="4"/>
        <v>0</v>
      </c>
      <c r="F26" s="82">
        <f t="shared" si="5"/>
        <v>0</v>
      </c>
      <c r="G26" s="80">
        <v>0</v>
      </c>
      <c r="H26" s="80">
        <v>0</v>
      </c>
      <c r="I26" s="80"/>
      <c r="J26" s="89"/>
      <c r="K26" s="42"/>
      <c r="P26" s="43"/>
      <c r="Q26" s="43"/>
    </row>
    <row r="27" spans="1:17" ht="16.5">
      <c r="A27" s="74" t="s">
        <v>24</v>
      </c>
      <c r="B27" s="83">
        <v>0</v>
      </c>
      <c r="C27" s="80"/>
      <c r="D27" s="81">
        <f t="shared" si="3"/>
        <v>0</v>
      </c>
      <c r="E27" s="81">
        <f t="shared" si="4"/>
        <v>0</v>
      </c>
      <c r="F27" s="82">
        <f t="shared" si="5"/>
        <v>0</v>
      </c>
      <c r="G27" s="80">
        <v>0</v>
      </c>
      <c r="H27" s="80">
        <v>0</v>
      </c>
      <c r="I27" s="80"/>
      <c r="J27" s="89"/>
      <c r="K27" s="42"/>
      <c r="P27" s="43"/>
      <c r="Q27" s="43"/>
    </row>
    <row r="28" spans="1:17" ht="30">
      <c r="A28" s="74" t="s">
        <v>69</v>
      </c>
      <c r="B28" s="91">
        <v>0</v>
      </c>
      <c r="C28" s="80"/>
      <c r="D28" s="81">
        <f t="shared" si="3"/>
        <v>0</v>
      </c>
      <c r="E28" s="81">
        <f t="shared" si="4"/>
        <v>0</v>
      </c>
      <c r="F28" s="82">
        <f t="shared" si="5"/>
        <v>0</v>
      </c>
      <c r="G28" s="80">
        <v>0</v>
      </c>
      <c r="H28" s="80">
        <v>0</v>
      </c>
      <c r="I28" s="80"/>
      <c r="J28" s="89"/>
      <c r="K28" s="42"/>
      <c r="P28" s="43"/>
      <c r="Q28" s="43"/>
    </row>
    <row r="29" spans="1:17" ht="16.5">
      <c r="A29" s="74" t="s">
        <v>26</v>
      </c>
      <c r="B29" s="91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9">
        <v>0</v>
      </c>
      <c r="K29" s="42"/>
      <c r="P29" s="43"/>
      <c r="Q29" s="43"/>
    </row>
    <row r="30" spans="1:17" ht="16.5">
      <c r="A30" s="74" t="s">
        <v>27</v>
      </c>
      <c r="B30" s="83">
        <v>0</v>
      </c>
      <c r="C30" s="80"/>
      <c r="D30" s="81">
        <f t="shared" si="3"/>
        <v>0</v>
      </c>
      <c r="E30" s="81">
        <f t="shared" si="4"/>
        <v>0</v>
      </c>
      <c r="F30" s="82">
        <f t="shared" si="5"/>
        <v>0</v>
      </c>
      <c r="G30" s="80">
        <v>0</v>
      </c>
      <c r="H30" s="80">
        <v>0</v>
      </c>
      <c r="I30" s="80"/>
      <c r="J30" s="89"/>
      <c r="K30" s="42"/>
      <c r="P30" s="43"/>
      <c r="Q30" s="43"/>
    </row>
    <row r="31" spans="1:17" ht="16.5">
      <c r="A31" s="75" t="s">
        <v>28</v>
      </c>
      <c r="B31" s="91">
        <v>0</v>
      </c>
      <c r="C31" s="80"/>
      <c r="D31" s="81">
        <f t="shared" si="3"/>
        <v>0</v>
      </c>
      <c r="E31" s="81">
        <f t="shared" si="4"/>
        <v>0</v>
      </c>
      <c r="F31" s="82">
        <f t="shared" si="5"/>
        <v>0</v>
      </c>
      <c r="G31" s="80">
        <v>0</v>
      </c>
      <c r="H31" s="80">
        <v>0</v>
      </c>
      <c r="I31" s="80"/>
      <c r="J31" s="89"/>
      <c r="K31" s="42"/>
      <c r="P31" s="43"/>
      <c r="Q31" s="43"/>
    </row>
    <row r="32" spans="1:17" ht="16.5">
      <c r="A32" s="74" t="s">
        <v>29</v>
      </c>
      <c r="B32" s="83">
        <v>0</v>
      </c>
      <c r="C32" s="80"/>
      <c r="D32" s="81">
        <f t="shared" si="3"/>
        <v>0</v>
      </c>
      <c r="E32" s="81">
        <f t="shared" si="4"/>
        <v>0</v>
      </c>
      <c r="F32" s="82">
        <f t="shared" si="5"/>
        <v>0</v>
      </c>
      <c r="G32" s="80">
        <v>0</v>
      </c>
      <c r="H32" s="80">
        <v>0</v>
      </c>
      <c r="I32" s="80"/>
      <c r="J32" s="89"/>
      <c r="K32" s="42"/>
      <c r="P32" s="43"/>
      <c r="Q32" s="43"/>
    </row>
    <row r="33" spans="1:17" ht="30">
      <c r="A33" s="74" t="s">
        <v>30</v>
      </c>
      <c r="B33" s="91">
        <v>0</v>
      </c>
      <c r="C33" s="80"/>
      <c r="D33" s="81">
        <f t="shared" si="3"/>
        <v>0</v>
      </c>
      <c r="E33" s="81">
        <f t="shared" si="4"/>
        <v>0</v>
      </c>
      <c r="F33" s="82">
        <f t="shared" si="5"/>
        <v>0</v>
      </c>
      <c r="G33" s="80">
        <v>0</v>
      </c>
      <c r="H33" s="80">
        <v>0</v>
      </c>
      <c r="I33" s="80"/>
      <c r="J33" s="89"/>
      <c r="K33" s="42"/>
      <c r="P33" s="43"/>
      <c r="Q33" s="43"/>
    </row>
    <row r="34" spans="1:17" ht="30">
      <c r="A34" s="74" t="s">
        <v>70</v>
      </c>
      <c r="B34" s="83">
        <v>0</v>
      </c>
      <c r="C34" s="80"/>
      <c r="D34" s="81">
        <f t="shared" si="3"/>
        <v>0</v>
      </c>
      <c r="E34" s="81">
        <f t="shared" si="4"/>
        <v>0</v>
      </c>
      <c r="F34" s="82">
        <f t="shared" si="5"/>
        <v>0</v>
      </c>
      <c r="G34" s="80">
        <v>0</v>
      </c>
      <c r="H34" s="80">
        <v>0</v>
      </c>
      <c r="I34" s="80"/>
      <c r="J34" s="89"/>
      <c r="K34" s="42"/>
      <c r="P34" s="43"/>
      <c r="Q34" s="43"/>
    </row>
    <row r="35" spans="1:17" ht="16.5">
      <c r="A35" s="74" t="s">
        <v>32</v>
      </c>
      <c r="B35" s="83">
        <v>0</v>
      </c>
      <c r="C35" s="80"/>
      <c r="D35" s="81">
        <f t="shared" si="3"/>
        <v>0</v>
      </c>
      <c r="E35" s="81">
        <f t="shared" si="4"/>
        <v>0</v>
      </c>
      <c r="F35" s="82">
        <f t="shared" si="5"/>
        <v>0</v>
      </c>
      <c r="G35" s="80">
        <v>0</v>
      </c>
      <c r="H35" s="80">
        <v>0</v>
      </c>
      <c r="I35" s="80"/>
      <c r="J35" s="89"/>
      <c r="K35" s="42"/>
      <c r="P35" s="43"/>
      <c r="Q35" s="43"/>
    </row>
    <row r="36" spans="1:17" ht="30">
      <c r="A36" s="74" t="s">
        <v>71</v>
      </c>
      <c r="B36" s="83">
        <v>0</v>
      </c>
      <c r="C36" s="80">
        <v>0</v>
      </c>
      <c r="D36" s="81">
        <f t="shared" si="3"/>
        <v>0</v>
      </c>
      <c r="E36" s="81">
        <f t="shared" si="4"/>
        <v>0</v>
      </c>
      <c r="F36" s="82">
        <f t="shared" si="5"/>
        <v>0</v>
      </c>
      <c r="G36" s="80">
        <v>0</v>
      </c>
      <c r="H36" s="80">
        <v>0</v>
      </c>
      <c r="I36" s="80">
        <v>0</v>
      </c>
      <c r="J36" s="89"/>
      <c r="K36" s="42"/>
      <c r="P36" s="43"/>
      <c r="Q36" s="43"/>
    </row>
    <row r="37" spans="1:17" ht="30">
      <c r="A37" s="74" t="s">
        <v>72</v>
      </c>
      <c r="B37" s="91">
        <v>0</v>
      </c>
      <c r="C37" s="80"/>
      <c r="D37" s="81">
        <f t="shared" si="3"/>
        <v>0</v>
      </c>
      <c r="E37" s="81">
        <f t="shared" si="4"/>
        <v>0</v>
      </c>
      <c r="F37" s="82">
        <f t="shared" si="5"/>
        <v>0</v>
      </c>
      <c r="G37" s="80">
        <v>0</v>
      </c>
      <c r="H37" s="80">
        <v>0</v>
      </c>
      <c r="I37" s="80"/>
      <c r="J37" s="89"/>
      <c r="K37" s="42"/>
      <c r="P37" s="43"/>
      <c r="Q37" s="43"/>
    </row>
    <row r="38" spans="1:17" ht="30">
      <c r="A38" s="74" t="s">
        <v>73</v>
      </c>
      <c r="B38" s="83">
        <v>0</v>
      </c>
      <c r="C38" s="80"/>
      <c r="D38" s="81">
        <f t="shared" si="3"/>
        <v>0</v>
      </c>
      <c r="E38" s="81">
        <f t="shared" si="4"/>
        <v>0</v>
      </c>
      <c r="F38" s="82">
        <f t="shared" si="5"/>
        <v>0</v>
      </c>
      <c r="G38" s="80">
        <v>0</v>
      </c>
      <c r="H38" s="80">
        <v>0</v>
      </c>
      <c r="I38" s="80"/>
      <c r="J38" s="89"/>
      <c r="K38" s="42"/>
      <c r="P38" s="43"/>
      <c r="Q38" s="43"/>
    </row>
    <row r="39" spans="1:17" ht="30">
      <c r="A39" s="74" t="s">
        <v>36</v>
      </c>
      <c r="B39" s="83">
        <v>0</v>
      </c>
      <c r="C39" s="80"/>
      <c r="D39" s="81">
        <f t="shared" si="3"/>
        <v>0</v>
      </c>
      <c r="E39" s="81">
        <f t="shared" si="4"/>
        <v>0</v>
      </c>
      <c r="F39" s="82">
        <f t="shared" si="5"/>
        <v>0</v>
      </c>
      <c r="G39" s="80">
        <v>0</v>
      </c>
      <c r="H39" s="80">
        <v>0</v>
      </c>
      <c r="I39" s="80"/>
      <c r="J39" s="89"/>
      <c r="K39" s="42"/>
      <c r="P39" s="43"/>
      <c r="Q39" s="43"/>
    </row>
    <row r="40" spans="1:17" ht="30">
      <c r="A40" s="74" t="s">
        <v>74</v>
      </c>
      <c r="B40" s="83">
        <v>4</v>
      </c>
      <c r="C40" s="80">
        <v>4</v>
      </c>
      <c r="D40" s="81">
        <f t="shared" si="3"/>
        <v>50399.99999999998</v>
      </c>
      <c r="E40" s="81">
        <f t="shared" si="4"/>
        <v>50400.454545454544</v>
      </c>
      <c r="F40" s="82">
        <f t="shared" si="5"/>
        <v>100.00090187590187</v>
      </c>
      <c r="G40" s="80">
        <v>201.5999999999999</v>
      </c>
      <c r="H40" s="80">
        <v>0</v>
      </c>
      <c r="I40" s="80">
        <v>2217.62</v>
      </c>
      <c r="J40" s="89"/>
      <c r="K40" s="42"/>
      <c r="P40" s="43"/>
      <c r="Q40" s="43"/>
    </row>
    <row r="41" spans="1:17" ht="16.5">
      <c r="A41" s="74" t="s">
        <v>38</v>
      </c>
      <c r="B41" s="83">
        <v>0</v>
      </c>
      <c r="C41" s="80"/>
      <c r="D41" s="81">
        <f t="shared" si="3"/>
        <v>0</v>
      </c>
      <c r="E41" s="81">
        <f t="shared" si="4"/>
        <v>0</v>
      </c>
      <c r="F41" s="82">
        <f t="shared" si="5"/>
        <v>0</v>
      </c>
      <c r="G41" s="80">
        <v>0</v>
      </c>
      <c r="H41" s="80">
        <v>0</v>
      </c>
      <c r="I41" s="80"/>
      <c r="J41" s="89"/>
      <c r="K41" s="42"/>
      <c r="P41" s="43"/>
      <c r="Q41" s="43"/>
    </row>
    <row r="42" spans="1:17" ht="30">
      <c r="A42" s="76" t="s">
        <v>39</v>
      </c>
      <c r="B42" s="85">
        <v>0</v>
      </c>
      <c r="C42" s="86"/>
      <c r="D42" s="87">
        <f t="shared" si="3"/>
        <v>0</v>
      </c>
      <c r="E42" s="81">
        <f t="shared" si="4"/>
        <v>0</v>
      </c>
      <c r="F42" s="82">
        <f t="shared" si="5"/>
        <v>0</v>
      </c>
      <c r="G42" s="86">
        <v>0</v>
      </c>
      <c r="H42" s="86">
        <v>0</v>
      </c>
      <c r="I42" s="86"/>
      <c r="J42" s="90"/>
      <c r="K42" s="42"/>
      <c r="P42" s="43"/>
      <c r="Q42" s="43"/>
    </row>
    <row r="43" spans="1:17" s="47" customFormat="1" ht="16.5">
      <c r="A43" s="112" t="s">
        <v>46</v>
      </c>
      <c r="B43" s="92">
        <f>SUM(B22:B42)</f>
        <v>4.49</v>
      </c>
      <c r="C43" s="92">
        <f>SUM(C22:C42)</f>
        <v>4.29</v>
      </c>
      <c r="D43" s="92">
        <f>_xlfn.IFERROR(G43/B43*1000,0)</f>
        <v>49643.652561247196</v>
      </c>
      <c r="E43" s="92">
        <f>_xlfn.IFERROR(I43/C43/$K$1*1000,0)</f>
        <v>50267.42954015681</v>
      </c>
      <c r="F43" s="93">
        <f>_xlfn.IFERROR(E43/$I$2*100,0)</f>
        <v>99.736963373327</v>
      </c>
      <c r="G43" s="92">
        <f>SUM(G22:G42)</f>
        <v>222.89999999999992</v>
      </c>
      <c r="H43" s="92">
        <f>SUM(H22:H42)</f>
        <v>0</v>
      </c>
      <c r="I43" s="92">
        <f>SUM(I22:I42)</f>
        <v>2372.12</v>
      </c>
      <c r="J43" s="92">
        <f>SUM(J22:J42)</f>
        <v>0</v>
      </c>
      <c r="K43" s="46"/>
      <c r="P43" s="48"/>
      <c r="Q43" s="48"/>
    </row>
    <row r="44" spans="1:17" s="47" customFormat="1" ht="18.75">
      <c r="A44" s="113" t="s">
        <v>47</v>
      </c>
      <c r="B44" s="92">
        <f>B21+B43</f>
        <v>748.357</v>
      </c>
      <c r="C44" s="92">
        <f>C21+C43</f>
        <v>756.2569999999998</v>
      </c>
      <c r="D44" s="92">
        <f>_xlfn.IFERROR(G44/B44*1000,0)</f>
        <v>48298.16518052214</v>
      </c>
      <c r="E44" s="92">
        <f>_xlfn.IFERROR(I44/C44/$K$1*1000,0)</f>
        <v>49863.29923677943</v>
      </c>
      <c r="F44" s="93">
        <f>_xlfn.IFERROR(E44/$I$2*100,0)</f>
        <v>98.93511753329251</v>
      </c>
      <c r="G44" s="92">
        <f>G21+G43</f>
        <v>36144.270000000004</v>
      </c>
      <c r="H44" s="92">
        <f>H21+H43</f>
        <v>78.74000000000004</v>
      </c>
      <c r="I44" s="92">
        <f>I21+I43</f>
        <v>414804.16</v>
      </c>
      <c r="J44" s="92">
        <f>J21+J43</f>
        <v>747.84</v>
      </c>
      <c r="K44" s="46"/>
      <c r="P44" s="48"/>
      <c r="Q44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C64" sqref="C63:C64"/>
    </sheetView>
  </sheetViews>
  <sheetFormatPr defaultColWidth="9.140625" defaultRowHeight="15"/>
  <cols>
    <col min="1" max="1" width="30.7109375" style="36" customWidth="1"/>
    <col min="2" max="2" width="19.28125" style="36" customWidth="1"/>
    <col min="3" max="3" width="18.421875" style="53" customWidth="1"/>
    <col min="4" max="4" width="18.140625" style="50" customWidth="1"/>
    <col min="5" max="5" width="14.140625" style="50" customWidth="1"/>
    <col min="6" max="6" width="18.28125" style="54" customWidth="1"/>
    <col min="7" max="7" width="15.140625" style="36" customWidth="1"/>
    <col min="8" max="9" width="14.7109375" style="36" customWidth="1"/>
    <col min="10" max="10" width="13.140625" style="52" customWidth="1"/>
    <col min="11" max="12" width="16.28125" style="52" customWidth="1"/>
    <col min="13" max="14" width="9.28125" style="38" bestFit="1" customWidth="1"/>
    <col min="15" max="15" width="10.140625" style="38" bestFit="1" customWidth="1"/>
    <col min="16" max="16" width="9.28125" style="38" bestFit="1" customWidth="1"/>
    <col min="17" max="16384" width="9.140625" style="38" customWidth="1"/>
  </cols>
  <sheetData>
    <row r="1" spans="1:11" ht="20.25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37" t="s">
        <v>63</v>
      </c>
      <c r="K1" s="37">
        <f>VLOOKUP(month,месяцы!$A$1:$B$12,2,FALSE)</f>
        <v>11</v>
      </c>
    </row>
    <row r="2" spans="1:11" ht="16.5">
      <c r="A2" s="12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8"/>
      <c r="C2" s="128"/>
      <c r="D2" s="128"/>
      <c r="E2" s="128"/>
      <c r="F2" s="128"/>
      <c r="G2" s="39"/>
      <c r="H2" s="40"/>
      <c r="I2" s="41">
        <v>50400</v>
      </c>
      <c r="J2" s="37">
        <v>2023</v>
      </c>
      <c r="K2" s="37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(ноябрь)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5"/>
      <c r="L3" s="35"/>
    </row>
    <row r="4" spans="1:16" s="100" customFormat="1" ht="16.5">
      <c r="A4" s="69" t="s">
        <v>2</v>
      </c>
      <c r="B4" s="79">
        <v>3</v>
      </c>
      <c r="C4" s="80">
        <v>3</v>
      </c>
      <c r="D4" s="81">
        <f>_xlfn.IFERROR(G4/B4*1000,0)</f>
        <v>34666.666666666664</v>
      </c>
      <c r="E4" s="81">
        <f>_xlfn.IFERROR(I4/C4/$K$1*1000,0)</f>
        <v>48596.9696969697</v>
      </c>
      <c r="F4" s="82">
        <f>_xlfn.IFERROR(E4/$I$2*100,0)</f>
        <v>96.42255892255893</v>
      </c>
      <c r="G4" s="80">
        <v>104</v>
      </c>
      <c r="H4" s="80">
        <v>0</v>
      </c>
      <c r="I4" s="83">
        <v>1603.7</v>
      </c>
      <c r="J4" s="83"/>
      <c r="K4" s="57"/>
      <c r="L4" s="57"/>
      <c r="O4" s="101"/>
      <c r="P4" s="101"/>
    </row>
    <row r="5" spans="1:16" s="100" customFormat="1" ht="16.5">
      <c r="A5" s="69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83"/>
      <c r="K5" s="57"/>
      <c r="L5" s="57"/>
      <c r="O5" s="101"/>
      <c r="P5" s="101"/>
    </row>
    <row r="6" spans="1:16" s="100" customFormat="1" ht="16.5">
      <c r="A6" s="69" t="s">
        <v>4</v>
      </c>
      <c r="B6" s="79">
        <v>0.9079999999999995</v>
      </c>
      <c r="C6" s="80">
        <v>0.983</v>
      </c>
      <c r="D6" s="81">
        <f t="shared" si="0"/>
        <v>50000.00000000001</v>
      </c>
      <c r="E6" s="81">
        <f t="shared" si="1"/>
        <v>50383.79728105058</v>
      </c>
      <c r="F6" s="82">
        <f t="shared" si="2"/>
        <v>99.96785174811623</v>
      </c>
      <c r="G6" s="80">
        <v>45.39999999999998</v>
      </c>
      <c r="H6" s="80">
        <v>0</v>
      </c>
      <c r="I6" s="83">
        <v>544.8</v>
      </c>
      <c r="J6" s="83"/>
      <c r="K6" s="57"/>
      <c r="L6" s="57"/>
      <c r="O6" s="101"/>
      <c r="P6" s="101"/>
    </row>
    <row r="7" spans="1:16" s="100" customFormat="1" ht="16.5">
      <c r="A7" s="69" t="s">
        <v>6</v>
      </c>
      <c r="B7" s="79">
        <v>0</v>
      </c>
      <c r="C7" s="80"/>
      <c r="D7" s="81">
        <f t="shared" si="0"/>
        <v>0</v>
      </c>
      <c r="E7" s="81">
        <f t="shared" si="1"/>
        <v>0</v>
      </c>
      <c r="F7" s="82">
        <f t="shared" si="2"/>
        <v>0</v>
      </c>
      <c r="G7" s="80">
        <v>0</v>
      </c>
      <c r="H7" s="80">
        <v>0</v>
      </c>
      <c r="I7" s="83"/>
      <c r="J7" s="83"/>
      <c r="K7" s="57"/>
      <c r="L7" s="57"/>
      <c r="O7" s="101"/>
      <c r="P7" s="101"/>
    </row>
    <row r="8" spans="1:16" s="100" customFormat="1" ht="16.5">
      <c r="A8" s="69" t="s">
        <v>7</v>
      </c>
      <c r="B8" s="83">
        <v>0.6039999999999992</v>
      </c>
      <c r="C8" s="80">
        <v>0.964</v>
      </c>
      <c r="D8" s="81">
        <f t="shared" si="0"/>
        <v>50331.1258278146</v>
      </c>
      <c r="E8" s="81">
        <f t="shared" si="1"/>
        <v>50396.07695209354</v>
      </c>
      <c r="F8" s="82">
        <f t="shared" si="2"/>
        <v>99.99221617478878</v>
      </c>
      <c r="G8" s="80">
        <v>30.399999999999977</v>
      </c>
      <c r="H8" s="80">
        <v>1.67</v>
      </c>
      <c r="I8" s="83">
        <v>534.4</v>
      </c>
      <c r="J8" s="83">
        <v>11.4</v>
      </c>
      <c r="K8" s="57"/>
      <c r="L8" s="57"/>
      <c r="O8" s="101"/>
      <c r="P8" s="101"/>
    </row>
    <row r="9" spans="1:16" s="102" customFormat="1" ht="16.5">
      <c r="A9" s="69" t="s">
        <v>8</v>
      </c>
      <c r="B9" s="83">
        <v>3.6980000000000004</v>
      </c>
      <c r="C9" s="80">
        <v>4.218</v>
      </c>
      <c r="D9" s="81">
        <f t="shared" si="0"/>
        <v>50427.257977285015</v>
      </c>
      <c r="E9" s="81">
        <f t="shared" si="1"/>
        <v>50400.44829518514</v>
      </c>
      <c r="F9" s="82">
        <f t="shared" si="2"/>
        <v>100.00088947457368</v>
      </c>
      <c r="G9" s="80">
        <v>186.48000000000002</v>
      </c>
      <c r="H9" s="80">
        <v>0</v>
      </c>
      <c r="I9" s="83">
        <v>2338.48</v>
      </c>
      <c r="J9" s="83"/>
      <c r="K9" s="57"/>
      <c r="L9" s="57"/>
      <c r="O9" s="101"/>
      <c r="P9" s="101"/>
    </row>
    <row r="10" spans="1:16" s="100" customFormat="1" ht="16.5">
      <c r="A10" s="69" t="s">
        <v>9</v>
      </c>
      <c r="B10" s="83">
        <v>0</v>
      </c>
      <c r="C10" s="80"/>
      <c r="D10" s="81">
        <f t="shared" si="0"/>
        <v>0</v>
      </c>
      <c r="E10" s="81">
        <f t="shared" si="1"/>
        <v>0</v>
      </c>
      <c r="F10" s="82">
        <f t="shared" si="2"/>
        <v>0</v>
      </c>
      <c r="G10" s="80">
        <v>0</v>
      </c>
      <c r="H10" s="80">
        <v>0</v>
      </c>
      <c r="I10" s="83"/>
      <c r="J10" s="83"/>
      <c r="K10" s="57"/>
      <c r="L10" s="57"/>
      <c r="O10" s="101"/>
      <c r="P10" s="101"/>
    </row>
    <row r="11" spans="1:16" s="100" customFormat="1" ht="16.5">
      <c r="A11" s="69" t="s">
        <v>10</v>
      </c>
      <c r="B11" s="83">
        <v>0</v>
      </c>
      <c r="C11" s="80"/>
      <c r="D11" s="81">
        <f t="shared" si="0"/>
        <v>0</v>
      </c>
      <c r="E11" s="81">
        <f t="shared" si="1"/>
        <v>0</v>
      </c>
      <c r="F11" s="82">
        <f t="shared" si="2"/>
        <v>0</v>
      </c>
      <c r="G11" s="80">
        <v>0</v>
      </c>
      <c r="H11" s="80">
        <v>0</v>
      </c>
      <c r="I11" s="83"/>
      <c r="J11" s="83"/>
      <c r="K11" s="57"/>
      <c r="L11" s="57"/>
      <c r="O11" s="101"/>
      <c r="P11" s="101"/>
    </row>
    <row r="12" spans="1:16" s="102" customFormat="1" ht="16.5">
      <c r="A12" s="70" t="s">
        <v>11</v>
      </c>
      <c r="B12" s="84">
        <v>1</v>
      </c>
      <c r="C12" s="80">
        <v>1</v>
      </c>
      <c r="D12" s="81">
        <f t="shared" si="0"/>
        <v>49600.00000000002</v>
      </c>
      <c r="E12" s="81">
        <f t="shared" si="1"/>
        <v>49790.909090909096</v>
      </c>
      <c r="F12" s="82">
        <f t="shared" si="2"/>
        <v>98.7914862914863</v>
      </c>
      <c r="G12" s="80">
        <v>49.60000000000002</v>
      </c>
      <c r="H12" s="80">
        <v>0</v>
      </c>
      <c r="I12" s="83">
        <v>547.7</v>
      </c>
      <c r="J12" s="83"/>
      <c r="K12" s="57"/>
      <c r="L12" s="57"/>
      <c r="O12" s="101"/>
      <c r="P12" s="101"/>
    </row>
    <row r="13" spans="1:16" s="103" customFormat="1" ht="16.5">
      <c r="A13" s="69" t="s">
        <v>12</v>
      </c>
      <c r="B13" s="83">
        <v>0</v>
      </c>
      <c r="C13" s="80"/>
      <c r="D13" s="81">
        <f t="shared" si="0"/>
        <v>0</v>
      </c>
      <c r="E13" s="81">
        <f t="shared" si="1"/>
        <v>0</v>
      </c>
      <c r="F13" s="82">
        <f t="shared" si="2"/>
        <v>0</v>
      </c>
      <c r="G13" s="80">
        <v>0</v>
      </c>
      <c r="H13" s="80">
        <v>0</v>
      </c>
      <c r="I13" s="83"/>
      <c r="J13" s="83"/>
      <c r="K13" s="57"/>
      <c r="L13" s="57"/>
      <c r="O13" s="101"/>
      <c r="P13" s="101"/>
    </row>
    <row r="14" spans="1:16" s="102" customFormat="1" ht="30">
      <c r="A14" s="70" t="s">
        <v>13</v>
      </c>
      <c r="B14" s="84">
        <v>4</v>
      </c>
      <c r="C14" s="80">
        <v>4</v>
      </c>
      <c r="D14" s="81">
        <f>_xlfn.IFERROR(G14/B14*1000,0)</f>
        <v>50199.999999999985</v>
      </c>
      <c r="E14" s="81">
        <f t="shared" si="1"/>
        <v>50400</v>
      </c>
      <c r="F14" s="82">
        <f t="shared" si="2"/>
        <v>100</v>
      </c>
      <c r="G14" s="80">
        <v>200.79999999999995</v>
      </c>
      <c r="H14" s="80">
        <v>0</v>
      </c>
      <c r="I14" s="83">
        <v>2217.6</v>
      </c>
      <c r="J14" s="83"/>
      <c r="K14" s="57"/>
      <c r="L14" s="57"/>
      <c r="O14" s="101"/>
      <c r="P14" s="101"/>
    </row>
    <row r="15" spans="1:16" s="102" customFormat="1" ht="16.5">
      <c r="A15" s="69" t="s">
        <v>14</v>
      </c>
      <c r="B15" s="83">
        <v>2.8999999999999986</v>
      </c>
      <c r="C15" s="80">
        <v>2.9</v>
      </c>
      <c r="D15" s="81">
        <f t="shared" si="0"/>
        <v>48103.448275862094</v>
      </c>
      <c r="E15" s="81">
        <f t="shared" si="1"/>
        <v>47899.68652037617</v>
      </c>
      <c r="F15" s="82">
        <f t="shared" si="2"/>
        <v>95.03906055630192</v>
      </c>
      <c r="G15" s="80">
        <v>139.5</v>
      </c>
      <c r="H15" s="80">
        <v>0</v>
      </c>
      <c r="I15" s="83">
        <v>1528</v>
      </c>
      <c r="J15" s="83"/>
      <c r="K15" s="57"/>
      <c r="L15" s="57"/>
      <c r="O15" s="101"/>
      <c r="P15" s="101"/>
    </row>
    <row r="16" spans="1:16" s="102" customFormat="1" ht="16.5">
      <c r="A16" s="71" t="s">
        <v>65</v>
      </c>
      <c r="B16" s="83">
        <v>0</v>
      </c>
      <c r="C16" s="80"/>
      <c r="D16" s="81">
        <f t="shared" si="0"/>
        <v>0</v>
      </c>
      <c r="E16" s="81">
        <f t="shared" si="1"/>
        <v>0</v>
      </c>
      <c r="F16" s="82">
        <f t="shared" si="2"/>
        <v>0</v>
      </c>
      <c r="G16" s="80">
        <v>0</v>
      </c>
      <c r="H16" s="80">
        <v>0</v>
      </c>
      <c r="I16" s="83"/>
      <c r="J16" s="83"/>
      <c r="K16" s="57"/>
      <c r="L16" s="57"/>
      <c r="O16" s="101"/>
      <c r="P16" s="101"/>
    </row>
    <row r="17" spans="1:16" s="102" customFormat="1" ht="30">
      <c r="A17" s="69" t="s">
        <v>66</v>
      </c>
      <c r="B17" s="83">
        <v>2</v>
      </c>
      <c r="C17" s="80">
        <v>2</v>
      </c>
      <c r="D17" s="81">
        <f t="shared" si="0"/>
        <v>55600.00000000002</v>
      </c>
      <c r="E17" s="81">
        <f t="shared" si="1"/>
        <v>50850</v>
      </c>
      <c r="F17" s="82">
        <f t="shared" si="2"/>
        <v>100.89285714285714</v>
      </c>
      <c r="G17" s="80">
        <v>111.20000000000005</v>
      </c>
      <c r="H17" s="80">
        <v>11</v>
      </c>
      <c r="I17" s="83">
        <v>1118.7</v>
      </c>
      <c r="J17" s="83">
        <v>11</v>
      </c>
      <c r="K17" s="57"/>
      <c r="L17" s="57"/>
      <c r="O17" s="101"/>
      <c r="P17" s="101"/>
    </row>
    <row r="18" spans="1:16" s="100" customFormat="1" ht="16.5">
      <c r="A18" s="69" t="s">
        <v>16</v>
      </c>
      <c r="B18" s="83">
        <v>5</v>
      </c>
      <c r="C18" s="80">
        <v>5</v>
      </c>
      <c r="D18" s="81">
        <f t="shared" si="0"/>
        <v>50400</v>
      </c>
      <c r="E18" s="81">
        <f t="shared" si="1"/>
        <v>50400</v>
      </c>
      <c r="F18" s="82">
        <f t="shared" si="2"/>
        <v>100</v>
      </c>
      <c r="G18" s="80">
        <v>252</v>
      </c>
      <c r="H18" s="80">
        <v>0</v>
      </c>
      <c r="I18" s="83">
        <v>2772</v>
      </c>
      <c r="J18" s="83"/>
      <c r="K18" s="57"/>
      <c r="L18" s="57"/>
      <c r="O18" s="101"/>
      <c r="P18" s="101"/>
    </row>
    <row r="19" spans="1:16" s="100" customFormat="1" ht="16.5">
      <c r="A19" s="69" t="s">
        <v>17</v>
      </c>
      <c r="B19" s="83">
        <v>1</v>
      </c>
      <c r="C19" s="80">
        <v>1</v>
      </c>
      <c r="D19" s="81">
        <f t="shared" si="0"/>
        <v>50399.99999999998</v>
      </c>
      <c r="E19" s="81">
        <f t="shared" si="1"/>
        <v>50400</v>
      </c>
      <c r="F19" s="82">
        <f t="shared" si="2"/>
        <v>100</v>
      </c>
      <c r="G19" s="80">
        <v>50.39999999999998</v>
      </c>
      <c r="H19" s="80">
        <v>0</v>
      </c>
      <c r="I19" s="83">
        <v>554.4</v>
      </c>
      <c r="J19" s="83"/>
      <c r="K19" s="57"/>
      <c r="L19" s="57"/>
      <c r="O19" s="101"/>
      <c r="P19" s="101"/>
    </row>
    <row r="20" spans="1:16" s="100" customFormat="1" ht="16.5">
      <c r="A20" s="72" t="s">
        <v>67</v>
      </c>
      <c r="B20" s="85">
        <v>0</v>
      </c>
      <c r="C20" s="86"/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85"/>
      <c r="K20" s="57"/>
      <c r="L20" s="57"/>
      <c r="O20" s="101"/>
      <c r="P20" s="101"/>
    </row>
    <row r="21" spans="1:16" s="104" customFormat="1" ht="16.5">
      <c r="A21" s="73" t="s">
        <v>45</v>
      </c>
      <c r="B21" s="92">
        <f>SUM(B4:B20)</f>
        <v>24.11</v>
      </c>
      <c r="C21" s="92">
        <f>SUM(C4:C20)</f>
        <v>25.064999999999998</v>
      </c>
      <c r="D21" s="92">
        <f>_xlfn.IFERROR(G21/B21*1000,0)</f>
        <v>48518.45707175447</v>
      </c>
      <c r="E21" s="92">
        <f>_xlfn.IFERROR(I21/C21/$K$1*1000,0)</f>
        <v>49905.80853417478</v>
      </c>
      <c r="F21" s="93">
        <f>_xlfn.IFERROR(E21/$I$2*100,0)</f>
        <v>99.01946137733091</v>
      </c>
      <c r="G21" s="92">
        <f>SUM(G4:G20)</f>
        <v>1169.7800000000002</v>
      </c>
      <c r="H21" s="92">
        <f>SUM(H4:H20)</f>
        <v>12.67</v>
      </c>
      <c r="I21" s="92">
        <f>SUM(I4:I20)</f>
        <v>13759.78</v>
      </c>
      <c r="J21" s="92">
        <f>SUM(J4:J20)</f>
        <v>22.4</v>
      </c>
      <c r="K21" s="46"/>
      <c r="L21" s="46"/>
      <c r="O21" s="105"/>
      <c r="P21" s="105"/>
    </row>
    <row r="22" spans="1:16" s="100" customFormat="1" ht="30">
      <c r="A22" s="74" t="s">
        <v>19</v>
      </c>
      <c r="B22" s="83">
        <v>25.920000000000016</v>
      </c>
      <c r="C22" s="80">
        <v>23.92</v>
      </c>
      <c r="D22" s="81">
        <f aca="true" t="shared" si="3" ref="D22:D42">_xlfn.IFERROR(G22/B22*1000,0)</f>
        <v>50401.234567901265</v>
      </c>
      <c r="E22" s="81">
        <f aca="true" t="shared" si="4" ref="E22:E42">_xlfn.IFERROR(I22/C22/$K$1*1000,0)</f>
        <v>50399.817573730616</v>
      </c>
      <c r="F22" s="82">
        <f aca="true" t="shared" si="5" ref="F22:F42">_xlfn.IFERROR(E22/$I$2*100,0)</f>
        <v>99.9996380431163</v>
      </c>
      <c r="G22" s="80">
        <v>1306.4000000000015</v>
      </c>
      <c r="H22" s="80">
        <v>0</v>
      </c>
      <c r="I22" s="80">
        <v>13261.2</v>
      </c>
      <c r="J22" s="83">
        <v>2.7</v>
      </c>
      <c r="K22" s="57"/>
      <c r="L22" s="57"/>
      <c r="O22" s="101"/>
      <c r="P22" s="101"/>
    </row>
    <row r="23" spans="1:16" s="100" customFormat="1" ht="30">
      <c r="A23" s="74" t="s">
        <v>68</v>
      </c>
      <c r="B23" s="83">
        <v>9.5</v>
      </c>
      <c r="C23" s="80">
        <v>9.5</v>
      </c>
      <c r="D23" s="81">
        <f t="shared" si="3"/>
        <v>43705.26315789472</v>
      </c>
      <c r="E23" s="81">
        <f t="shared" si="4"/>
        <v>49047.84688995215</v>
      </c>
      <c r="F23" s="82">
        <f t="shared" si="5"/>
        <v>97.31715652768284</v>
      </c>
      <c r="G23" s="80">
        <v>415.1999999999998</v>
      </c>
      <c r="H23" s="80">
        <v>0</v>
      </c>
      <c r="I23" s="80">
        <v>5125.5</v>
      </c>
      <c r="J23" s="83">
        <v>0.3</v>
      </c>
      <c r="K23" s="57"/>
      <c r="L23" s="57"/>
      <c r="O23" s="101"/>
      <c r="P23" s="101"/>
    </row>
    <row r="24" spans="1:16" s="100" customFormat="1" ht="30">
      <c r="A24" s="74" t="s">
        <v>21</v>
      </c>
      <c r="B24" s="83">
        <v>24.19999999999999</v>
      </c>
      <c r="C24" s="80">
        <v>24.2</v>
      </c>
      <c r="D24" s="81">
        <f t="shared" si="3"/>
        <v>50214.8760330579</v>
      </c>
      <c r="E24" s="81">
        <f t="shared" si="4"/>
        <v>50330.95416979715</v>
      </c>
      <c r="F24" s="82">
        <f t="shared" si="5"/>
        <v>99.86300430515308</v>
      </c>
      <c r="G24" s="80">
        <v>1215.2000000000007</v>
      </c>
      <c r="H24" s="80">
        <v>0</v>
      </c>
      <c r="I24" s="80">
        <v>13398.1</v>
      </c>
      <c r="J24" s="83"/>
      <c r="K24" s="57"/>
      <c r="L24" s="57"/>
      <c r="O24" s="101"/>
      <c r="P24" s="101"/>
    </row>
    <row r="25" spans="1:16" s="100" customFormat="1" ht="30">
      <c r="A25" s="74" t="s">
        <v>22</v>
      </c>
      <c r="B25" s="83">
        <v>27.999999999999943</v>
      </c>
      <c r="C25" s="80">
        <v>33.8</v>
      </c>
      <c r="D25" s="81">
        <f t="shared" si="3"/>
        <v>51596.42857142857</v>
      </c>
      <c r="E25" s="81">
        <f t="shared" si="4"/>
        <v>49602.20548682087</v>
      </c>
      <c r="F25" s="82">
        <f t="shared" si="5"/>
        <v>98.41707437861285</v>
      </c>
      <c r="G25" s="80">
        <v>1444.699999999997</v>
      </c>
      <c r="H25" s="80">
        <v>0</v>
      </c>
      <c r="I25" s="80">
        <v>18442.1</v>
      </c>
      <c r="J25" s="83">
        <v>1.6</v>
      </c>
      <c r="K25" s="57"/>
      <c r="L25" s="57"/>
      <c r="O25" s="101"/>
      <c r="P25" s="101"/>
    </row>
    <row r="26" spans="1:16" s="100" customFormat="1" ht="30">
      <c r="A26" s="74" t="s">
        <v>23</v>
      </c>
      <c r="B26" s="83">
        <v>8.899000000000015</v>
      </c>
      <c r="C26" s="80">
        <v>8.409</v>
      </c>
      <c r="D26" s="81">
        <f t="shared" si="3"/>
        <v>48331.27317676129</v>
      </c>
      <c r="E26" s="81">
        <f t="shared" si="4"/>
        <v>50258.92171807261</v>
      </c>
      <c r="F26" s="82">
        <f t="shared" si="5"/>
        <v>99.7200827739536</v>
      </c>
      <c r="G26" s="80">
        <v>430.09999999999945</v>
      </c>
      <c r="H26" s="80">
        <v>0</v>
      </c>
      <c r="I26" s="80">
        <v>4648.9</v>
      </c>
      <c r="J26" s="83"/>
      <c r="K26" s="57"/>
      <c r="L26" s="57"/>
      <c r="O26" s="101"/>
      <c r="P26" s="101"/>
    </row>
    <row r="27" spans="1:16" s="100" customFormat="1" ht="16.5">
      <c r="A27" s="74" t="s">
        <v>24</v>
      </c>
      <c r="B27" s="83">
        <v>33.39999999999998</v>
      </c>
      <c r="C27" s="80">
        <v>31.4</v>
      </c>
      <c r="D27" s="81">
        <f t="shared" si="3"/>
        <v>50407.18562874262</v>
      </c>
      <c r="E27" s="81">
        <f t="shared" si="4"/>
        <v>50400.694846554725</v>
      </c>
      <c r="F27" s="82">
        <f t="shared" si="5"/>
        <v>100.00137866379906</v>
      </c>
      <c r="G27" s="80">
        <v>1683.6000000000022</v>
      </c>
      <c r="H27" s="80">
        <v>0</v>
      </c>
      <c r="I27" s="80">
        <v>17408.4</v>
      </c>
      <c r="J27" s="83">
        <v>39.3</v>
      </c>
      <c r="K27" s="57"/>
      <c r="L27" s="57"/>
      <c r="O27" s="101"/>
      <c r="P27" s="101"/>
    </row>
    <row r="28" spans="1:16" s="100" customFormat="1" ht="30">
      <c r="A28" s="74" t="s">
        <v>69</v>
      </c>
      <c r="B28" s="88">
        <v>0</v>
      </c>
      <c r="C28" s="80"/>
      <c r="D28" s="81">
        <f t="shared" si="3"/>
        <v>0</v>
      </c>
      <c r="E28" s="81">
        <f t="shared" si="4"/>
        <v>0</v>
      </c>
      <c r="F28" s="82">
        <f t="shared" si="5"/>
        <v>0</v>
      </c>
      <c r="G28" s="80">
        <v>0</v>
      </c>
      <c r="H28" s="80">
        <v>0</v>
      </c>
      <c r="I28" s="80"/>
      <c r="J28" s="83"/>
      <c r="K28" s="57"/>
      <c r="L28" s="57"/>
      <c r="O28" s="101"/>
      <c r="P28" s="101"/>
    </row>
    <row r="29" spans="1:16" s="100" customFormat="1" ht="16.5">
      <c r="A29" s="74" t="s">
        <v>26</v>
      </c>
      <c r="B29" s="88">
        <v>0</v>
      </c>
      <c r="C29" s="80">
        <v>0</v>
      </c>
      <c r="D29" s="81">
        <f t="shared" si="3"/>
        <v>0</v>
      </c>
      <c r="E29" s="81">
        <f t="shared" si="4"/>
        <v>0</v>
      </c>
      <c r="F29" s="82">
        <f t="shared" si="5"/>
        <v>0</v>
      </c>
      <c r="G29" s="80">
        <v>0</v>
      </c>
      <c r="H29" s="80">
        <v>0</v>
      </c>
      <c r="I29" s="80">
        <v>0</v>
      </c>
      <c r="J29" s="83">
        <v>0</v>
      </c>
      <c r="K29" s="57"/>
      <c r="L29" s="57"/>
      <c r="O29" s="101"/>
      <c r="P29" s="101"/>
    </row>
    <row r="30" spans="1:16" s="100" customFormat="1" ht="16.5">
      <c r="A30" s="74" t="s">
        <v>27</v>
      </c>
      <c r="B30" s="83">
        <v>28.5</v>
      </c>
      <c r="C30" s="80">
        <v>28.5</v>
      </c>
      <c r="D30" s="81">
        <f t="shared" si="3"/>
        <v>46240</v>
      </c>
      <c r="E30" s="81">
        <f t="shared" si="4"/>
        <v>49579.96810207336</v>
      </c>
      <c r="F30" s="82">
        <f t="shared" si="5"/>
        <v>98.37295258347889</v>
      </c>
      <c r="G30" s="80">
        <v>1317.8400000000001</v>
      </c>
      <c r="H30" s="80">
        <v>2.259999999999998</v>
      </c>
      <c r="I30" s="80">
        <v>15543.32</v>
      </c>
      <c r="J30" s="83">
        <v>45.58</v>
      </c>
      <c r="K30" s="57"/>
      <c r="L30" s="57"/>
      <c r="O30" s="101"/>
      <c r="P30" s="101"/>
    </row>
    <row r="31" spans="1:16" s="100" customFormat="1" ht="16.5">
      <c r="A31" s="75" t="s">
        <v>28</v>
      </c>
      <c r="B31" s="88">
        <v>15</v>
      </c>
      <c r="C31" s="80">
        <v>15</v>
      </c>
      <c r="D31" s="81">
        <f t="shared" si="3"/>
        <v>51319.99999999995</v>
      </c>
      <c r="E31" s="81">
        <f t="shared" si="4"/>
        <v>50347.878787878784</v>
      </c>
      <c r="F31" s="82">
        <f t="shared" si="5"/>
        <v>99.8965848965849</v>
      </c>
      <c r="G31" s="80">
        <v>769.7999999999993</v>
      </c>
      <c r="H31" s="80">
        <v>0</v>
      </c>
      <c r="I31" s="80">
        <v>8307.4</v>
      </c>
      <c r="J31" s="83"/>
      <c r="K31" s="57"/>
      <c r="L31" s="57"/>
      <c r="O31" s="101"/>
      <c r="P31" s="101"/>
    </row>
    <row r="32" spans="1:16" s="100" customFormat="1" ht="16.5">
      <c r="A32" s="74" t="s">
        <v>29</v>
      </c>
      <c r="B32" s="88">
        <v>28.5</v>
      </c>
      <c r="C32" s="80">
        <v>27.5</v>
      </c>
      <c r="D32" s="81">
        <f t="shared" si="3"/>
        <v>51122.80701754386</v>
      </c>
      <c r="E32" s="81">
        <f t="shared" si="4"/>
        <v>49557.35537190083</v>
      </c>
      <c r="F32" s="82">
        <f t="shared" si="5"/>
        <v>98.32808605535878</v>
      </c>
      <c r="G32" s="80">
        <v>1457</v>
      </c>
      <c r="H32" s="80">
        <v>48</v>
      </c>
      <c r="I32" s="80">
        <v>14991.1</v>
      </c>
      <c r="J32" s="83">
        <v>639.8</v>
      </c>
      <c r="K32" s="57"/>
      <c r="L32" s="57"/>
      <c r="O32" s="101"/>
      <c r="P32" s="101"/>
    </row>
    <row r="33" spans="1:16" s="100" customFormat="1" ht="30">
      <c r="A33" s="74" t="s">
        <v>30</v>
      </c>
      <c r="B33" s="88">
        <v>16.6995</v>
      </c>
      <c r="C33" s="80">
        <v>16.5445</v>
      </c>
      <c r="D33" s="81">
        <f t="shared" si="3"/>
        <v>48211.02428216405</v>
      </c>
      <c r="E33" s="81">
        <f t="shared" si="4"/>
        <v>49823.20408595001</v>
      </c>
      <c r="F33" s="82">
        <f t="shared" si="5"/>
        <v>98.85556366259924</v>
      </c>
      <c r="G33" s="80">
        <v>805.0999999999985</v>
      </c>
      <c r="H33" s="80">
        <v>0</v>
      </c>
      <c r="I33" s="80">
        <v>9067.3</v>
      </c>
      <c r="J33" s="83"/>
      <c r="K33" s="57"/>
      <c r="L33" s="57"/>
      <c r="O33" s="101"/>
      <c r="P33" s="101"/>
    </row>
    <row r="34" spans="1:16" s="100" customFormat="1" ht="30">
      <c r="A34" s="74" t="s">
        <v>70</v>
      </c>
      <c r="B34" s="83">
        <v>13.199999999999989</v>
      </c>
      <c r="C34" s="80">
        <v>10.2</v>
      </c>
      <c r="D34" s="81">
        <f t="shared" si="3"/>
        <v>59174.2424242425</v>
      </c>
      <c r="E34" s="81">
        <f t="shared" si="4"/>
        <v>51489.304812834234</v>
      </c>
      <c r="F34" s="82">
        <f t="shared" si="5"/>
        <v>102.16131907308379</v>
      </c>
      <c r="G34" s="80">
        <v>781.1000000000004</v>
      </c>
      <c r="H34" s="80">
        <v>0</v>
      </c>
      <c r="I34" s="80">
        <v>5777.1</v>
      </c>
      <c r="J34" s="83"/>
      <c r="K34" s="57"/>
      <c r="L34" s="57"/>
      <c r="O34" s="101"/>
      <c r="P34" s="101"/>
    </row>
    <row r="35" spans="1:16" s="100" customFormat="1" ht="16.5">
      <c r="A35" s="74" t="s">
        <v>32</v>
      </c>
      <c r="B35" s="83">
        <v>32.10000000000002</v>
      </c>
      <c r="C35" s="80">
        <v>33.1</v>
      </c>
      <c r="D35" s="81">
        <f t="shared" si="3"/>
        <v>53130.84112149529</v>
      </c>
      <c r="E35" s="81">
        <f t="shared" si="4"/>
        <v>50642.95523207909</v>
      </c>
      <c r="F35" s="82">
        <f t="shared" si="5"/>
        <v>100.48205403190296</v>
      </c>
      <c r="G35" s="80">
        <v>1705.5</v>
      </c>
      <c r="H35" s="80">
        <v>2</v>
      </c>
      <c r="I35" s="80">
        <v>18439.1</v>
      </c>
      <c r="J35" s="83">
        <v>19.6</v>
      </c>
      <c r="K35" s="57"/>
      <c r="L35" s="57"/>
      <c r="O35" s="101"/>
      <c r="P35" s="101"/>
    </row>
    <row r="36" spans="1:16" s="100" customFormat="1" ht="30">
      <c r="A36" s="74" t="s">
        <v>71</v>
      </c>
      <c r="B36" s="83">
        <v>0</v>
      </c>
      <c r="C36" s="80">
        <v>0</v>
      </c>
      <c r="D36" s="81">
        <f t="shared" si="3"/>
        <v>0</v>
      </c>
      <c r="E36" s="81">
        <f t="shared" si="4"/>
        <v>0</v>
      </c>
      <c r="F36" s="82">
        <f t="shared" si="5"/>
        <v>0</v>
      </c>
      <c r="G36" s="80">
        <v>0</v>
      </c>
      <c r="H36" s="80">
        <v>0</v>
      </c>
      <c r="I36" s="80">
        <v>0</v>
      </c>
      <c r="J36" s="83"/>
      <c r="K36" s="57"/>
      <c r="L36" s="57"/>
      <c r="O36" s="101"/>
      <c r="P36" s="101"/>
    </row>
    <row r="37" spans="1:16" s="100" customFormat="1" ht="30">
      <c r="A37" s="74" t="s">
        <v>72</v>
      </c>
      <c r="B37" s="88">
        <v>25.69999999999999</v>
      </c>
      <c r="C37" s="80">
        <v>27.7</v>
      </c>
      <c r="D37" s="81">
        <f t="shared" si="3"/>
        <v>50400.778210116725</v>
      </c>
      <c r="E37" s="81">
        <f t="shared" si="4"/>
        <v>50400.06563833278</v>
      </c>
      <c r="F37" s="82">
        <f t="shared" si="5"/>
        <v>100.00013023478726</v>
      </c>
      <c r="G37" s="80">
        <v>1295.2999999999993</v>
      </c>
      <c r="H37" s="80">
        <v>0</v>
      </c>
      <c r="I37" s="80">
        <v>15356.9</v>
      </c>
      <c r="J37" s="83"/>
      <c r="K37" s="57"/>
      <c r="L37" s="57"/>
      <c r="O37" s="101"/>
      <c r="P37" s="101"/>
    </row>
    <row r="38" spans="1:16" s="100" customFormat="1" ht="30">
      <c r="A38" s="74" t="s">
        <v>73</v>
      </c>
      <c r="B38" s="83">
        <v>0</v>
      </c>
      <c r="C38" s="80"/>
      <c r="D38" s="81">
        <f t="shared" si="3"/>
        <v>0</v>
      </c>
      <c r="E38" s="81">
        <f t="shared" si="4"/>
        <v>0</v>
      </c>
      <c r="F38" s="82">
        <f t="shared" si="5"/>
        <v>0</v>
      </c>
      <c r="G38" s="80">
        <v>0</v>
      </c>
      <c r="H38" s="80">
        <v>0</v>
      </c>
      <c r="I38" s="80"/>
      <c r="J38" s="83"/>
      <c r="K38" s="57"/>
      <c r="L38" s="57"/>
      <c r="O38" s="101"/>
      <c r="P38" s="101"/>
    </row>
    <row r="39" spans="1:16" s="100" customFormat="1" ht="30">
      <c r="A39" s="74" t="s">
        <v>36</v>
      </c>
      <c r="B39" s="83">
        <v>18.8</v>
      </c>
      <c r="C39" s="80">
        <v>18.75</v>
      </c>
      <c r="D39" s="81">
        <f t="shared" si="3"/>
        <v>44420.21276595747</v>
      </c>
      <c r="E39" s="81">
        <f t="shared" si="4"/>
        <v>50772.84848484848</v>
      </c>
      <c r="F39" s="82">
        <f t="shared" si="5"/>
        <v>100.73977873977873</v>
      </c>
      <c r="G39" s="80">
        <v>835.1000000000004</v>
      </c>
      <c r="H39" s="80">
        <v>0</v>
      </c>
      <c r="I39" s="80">
        <v>10471.9</v>
      </c>
      <c r="J39" s="83"/>
      <c r="K39" s="57"/>
      <c r="L39" s="57"/>
      <c r="O39" s="101"/>
      <c r="P39" s="101"/>
    </row>
    <row r="40" spans="1:16" s="100" customFormat="1" ht="30">
      <c r="A40" s="74" t="s">
        <v>74</v>
      </c>
      <c r="B40" s="83">
        <v>8.599999999999994</v>
      </c>
      <c r="C40" s="80">
        <v>8.6</v>
      </c>
      <c r="D40" s="81">
        <f t="shared" si="3"/>
        <v>52997.32558139539</v>
      </c>
      <c r="E40" s="81">
        <f t="shared" si="4"/>
        <v>50369.788583509515</v>
      </c>
      <c r="F40" s="82">
        <f t="shared" si="5"/>
        <v>99.94005671331253</v>
      </c>
      <c r="G40" s="80">
        <v>455.77700000000004</v>
      </c>
      <c r="H40" s="80">
        <v>0</v>
      </c>
      <c r="I40" s="80">
        <v>4764.982</v>
      </c>
      <c r="J40" s="83"/>
      <c r="K40" s="57"/>
      <c r="L40" s="57"/>
      <c r="O40" s="101"/>
      <c r="P40" s="101"/>
    </row>
    <row r="41" spans="1:16" s="100" customFormat="1" ht="16.5">
      <c r="A41" s="74" t="s">
        <v>38</v>
      </c>
      <c r="B41" s="83">
        <v>20.80000000000001</v>
      </c>
      <c r="C41" s="80">
        <v>26.8</v>
      </c>
      <c r="D41" s="81">
        <f t="shared" si="3"/>
        <v>50399.999999999956</v>
      </c>
      <c r="E41" s="81">
        <f t="shared" si="4"/>
        <v>50400</v>
      </c>
      <c r="F41" s="82">
        <f t="shared" si="5"/>
        <v>100</v>
      </c>
      <c r="G41" s="80">
        <v>1048.3199999999997</v>
      </c>
      <c r="H41" s="80">
        <v>0</v>
      </c>
      <c r="I41" s="80">
        <v>14857.92</v>
      </c>
      <c r="J41" s="83"/>
      <c r="K41" s="57"/>
      <c r="L41" s="57"/>
      <c r="O41" s="101"/>
      <c r="P41" s="101"/>
    </row>
    <row r="42" spans="1:16" s="100" customFormat="1" ht="30">
      <c r="A42" s="76" t="s">
        <v>39</v>
      </c>
      <c r="B42" s="85">
        <v>31.50999999999999</v>
      </c>
      <c r="C42" s="86">
        <v>30.51</v>
      </c>
      <c r="D42" s="87">
        <f t="shared" si="3"/>
        <v>50403.04665185654</v>
      </c>
      <c r="E42" s="81">
        <f t="shared" si="4"/>
        <v>50400.166860343845</v>
      </c>
      <c r="F42" s="82">
        <f t="shared" si="5"/>
        <v>100.0003310721108</v>
      </c>
      <c r="G42" s="86">
        <v>1588.199999999999</v>
      </c>
      <c r="H42" s="86">
        <v>90.19999999999999</v>
      </c>
      <c r="I42" s="86">
        <v>16914.8</v>
      </c>
      <c r="J42" s="85">
        <v>349.4</v>
      </c>
      <c r="K42" s="57"/>
      <c r="L42" s="57"/>
      <c r="O42" s="101"/>
      <c r="P42" s="101"/>
    </row>
    <row r="43" spans="1:16" s="106" customFormat="1" ht="16.5">
      <c r="A43" s="77" t="s">
        <v>46</v>
      </c>
      <c r="B43" s="97">
        <f>SUM(B22:B42)</f>
        <v>369.3284999999999</v>
      </c>
      <c r="C43" s="97">
        <f>SUM(C22:C42)</f>
        <v>374.43350000000004</v>
      </c>
      <c r="D43" s="97">
        <f>_xlfn.IFERROR(G43/B43*1000,0)</f>
        <v>50237.76123423997</v>
      </c>
      <c r="E43" s="97">
        <f>_xlfn.IFERROR(I43/C43/$K$1*1000,0)</f>
        <v>50203.36102890949</v>
      </c>
      <c r="F43" s="98">
        <f>_xlfn.IFERROR(E43/$I$2*100,0)</f>
        <v>99.60984331132835</v>
      </c>
      <c r="G43" s="97">
        <f>SUM(G22:G42)</f>
        <v>18554.236999999994</v>
      </c>
      <c r="H43" s="97">
        <f>SUM(H22:H42)</f>
        <v>142.45999999999998</v>
      </c>
      <c r="I43" s="97">
        <f>SUM(I22:I42)</f>
        <v>206776.022</v>
      </c>
      <c r="J43" s="97">
        <f>SUM(J22:J42)</f>
        <v>1098.28</v>
      </c>
      <c r="K43" s="61"/>
      <c r="L43" s="61"/>
      <c r="O43" s="107"/>
      <c r="P43" s="107"/>
    </row>
    <row r="44" spans="1:11" s="109" customFormat="1" ht="16.5">
      <c r="A44" s="78" t="s">
        <v>75</v>
      </c>
      <c r="B44" s="80">
        <v>4.1</v>
      </c>
      <c r="C44" s="80">
        <v>4.8</v>
      </c>
      <c r="D44" s="80">
        <f>_xlfn.IFERROR(G44/B44*1000,0)</f>
        <v>53951.21951219512</v>
      </c>
      <c r="E44" s="80">
        <f>_xlfn.IFERROR(I44/C44/$K$1*1000,0)</f>
        <v>56244.31818181818</v>
      </c>
      <c r="F44" s="99">
        <f>_xlfn.IFERROR(E44/$I$2*100,0)</f>
        <v>111.59586940836941</v>
      </c>
      <c r="G44" s="80">
        <v>221.2</v>
      </c>
      <c r="H44" s="80">
        <v>0</v>
      </c>
      <c r="I44" s="80">
        <v>2969.7</v>
      </c>
      <c r="J44" s="80"/>
      <c r="K44" s="108"/>
    </row>
    <row r="45" spans="1:16" s="106" customFormat="1" ht="16.5">
      <c r="A45" s="77" t="s">
        <v>47</v>
      </c>
      <c r="B45" s="97">
        <f>B21+B43+B44</f>
        <v>397.53849999999994</v>
      </c>
      <c r="C45" s="97">
        <f>C21+C43+C44</f>
        <v>404.29850000000005</v>
      </c>
      <c r="D45" s="97">
        <f>_xlfn.IFERROR(G45/B45*1000,0)</f>
        <v>50171.7871350825</v>
      </c>
      <c r="E45" s="97">
        <f>_xlfn.IFERROR(I45/C45/$K$1*1000,0)</f>
        <v>50256.6346399999</v>
      </c>
      <c r="F45" s="98">
        <f>_xlfn.IFERROR(E45/$I$2*100,0)</f>
        <v>99.71554492063473</v>
      </c>
      <c r="G45" s="97">
        <f>G21+G43+G44</f>
        <v>19945.216999999993</v>
      </c>
      <c r="H45" s="97">
        <f>H21+H43+H44</f>
        <v>155.12999999999997</v>
      </c>
      <c r="I45" s="97">
        <f>I21+I43+I44</f>
        <v>223505.502</v>
      </c>
      <c r="J45" s="97">
        <f>J21+J43+J44</f>
        <v>1120.68</v>
      </c>
      <c r="K45" s="61"/>
      <c r="L45" s="61"/>
      <c r="O45" s="107"/>
      <c r="P45" s="107"/>
    </row>
    <row r="46" spans="1:16" s="100" customFormat="1" ht="49.5">
      <c r="A46" s="62" t="s">
        <v>99</v>
      </c>
      <c r="B46" s="95">
        <v>58.1</v>
      </c>
      <c r="C46" s="95">
        <v>59.1</v>
      </c>
      <c r="D46" s="96">
        <f>_xlfn.IFERROR(G46/B46*1000,0)</f>
        <v>49965.57659208256</v>
      </c>
      <c r="E46" s="96">
        <f>_xlfn.IFERROR(I46/C46/$K$1*1000,0)</f>
        <v>49600.52299646207</v>
      </c>
      <c r="F46" s="95">
        <f>_xlfn.IFERROR(E46/$I$2*100,0)</f>
        <v>98.4137361040914</v>
      </c>
      <c r="G46" s="95">
        <v>2902.9999999999964</v>
      </c>
      <c r="H46" s="95">
        <v>0</v>
      </c>
      <c r="I46" s="95">
        <v>32245.299999999996</v>
      </c>
      <c r="J46" s="95">
        <v>0</v>
      </c>
      <c r="K46" s="110"/>
      <c r="L46" s="36"/>
      <c r="O46" s="101"/>
      <c r="P46" s="101"/>
    </row>
    <row r="47" spans="1:16" s="100" customFormat="1" ht="17.25" thickBot="1">
      <c r="A47" s="36"/>
      <c r="B47" s="50"/>
      <c r="C47" s="50"/>
      <c r="D47" s="50"/>
      <c r="E47" s="50"/>
      <c r="F47" s="50"/>
      <c r="G47" s="50"/>
      <c r="H47" s="50"/>
      <c r="I47" s="50"/>
      <c r="J47" s="50"/>
      <c r="K47" s="111"/>
      <c r="L47" s="36"/>
      <c r="O47" s="101"/>
      <c r="P47" s="101"/>
    </row>
    <row r="48" spans="1:12" s="100" customFormat="1" ht="33.75" thickBot="1">
      <c r="A48" s="63" t="s">
        <v>51</v>
      </c>
      <c r="B48" s="64">
        <f>B45+B46</f>
        <v>455.63849999999996</v>
      </c>
      <c r="C48" s="64">
        <f>C45+C46</f>
        <v>463.39850000000007</v>
      </c>
      <c r="D48" s="65">
        <f>_xlfn.IFERROR(G48/B48*1000,0)</f>
        <v>50145.49253410323</v>
      </c>
      <c r="E48" s="65">
        <f>_xlfn.IFERROR(I48/C48/$K$1*1000,0)</f>
        <v>50172.95677282275</v>
      </c>
      <c r="F48" s="66">
        <f>E48/$I$2*100</f>
        <v>99.54951740639434</v>
      </c>
      <c r="G48" s="64">
        <f>G45+G46</f>
        <v>22848.21699999999</v>
      </c>
      <c r="H48" s="64">
        <f>H45+H46</f>
        <v>155.12999999999997</v>
      </c>
      <c r="I48" s="64">
        <f>I45+I46</f>
        <v>255750.802</v>
      </c>
      <c r="J48" s="64">
        <f>J45+J46</f>
        <v>1120.68</v>
      </c>
      <c r="K48" s="67"/>
      <c r="L48" s="36"/>
    </row>
    <row r="52" ht="16.5">
      <c r="B52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R43"/>
  <sheetViews>
    <sheetView workbookViewId="0" topLeftCell="A1">
      <pane ySplit="3" topLeftCell="A29" activePane="bottomLeft" state="frozen"/>
      <selection pane="topLeft" activeCell="A1" sqref="A1"/>
      <selection pane="bottomLeft" activeCell="A34" sqref="A34"/>
    </sheetView>
  </sheetViews>
  <sheetFormatPr defaultColWidth="16.421875" defaultRowHeight="15"/>
  <cols>
    <col min="1" max="1" width="32.00390625" style="36" customWidth="1"/>
    <col min="2" max="2" width="18.57421875" style="36" customWidth="1"/>
    <col min="3" max="3" width="19.00390625" style="53" customWidth="1"/>
    <col min="4" max="4" width="18.28125" style="36" customWidth="1"/>
    <col min="5" max="5" width="13.28125" style="50" customWidth="1"/>
    <col min="6" max="6" width="17.8515625" style="54" customWidth="1"/>
    <col min="7" max="7" width="12.7109375" style="36" customWidth="1"/>
    <col min="8" max="8" width="13.7109375" style="36" customWidth="1"/>
    <col min="9" max="9" width="14.7109375" style="36" customWidth="1"/>
    <col min="10" max="10" width="14.140625" style="52" customWidth="1"/>
    <col min="11" max="11" width="11.140625" style="52" customWidth="1"/>
    <col min="12" max="12" width="11.140625" style="36" customWidth="1"/>
    <col min="13" max="13" width="15.140625" style="36" customWidth="1"/>
    <col min="14" max="14" width="15.8515625" style="36" customWidth="1"/>
    <col min="15" max="15" width="13.00390625" style="36" customWidth="1"/>
    <col min="16" max="16" width="15.7109375" style="38" customWidth="1"/>
    <col min="17" max="17" width="13.00390625" style="38" customWidth="1"/>
    <col min="18" max="18" width="16.421875" style="36" customWidth="1"/>
    <col min="19" max="16384" width="16.421875" style="38" customWidth="1"/>
  </cols>
  <sheetData>
    <row r="1" spans="1:11" ht="20.2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37" t="s">
        <v>63</v>
      </c>
      <c r="K1" s="37">
        <f>VLOOKUP(month,месяцы!$A$1:$B$12,2,FALSE)</f>
        <v>11</v>
      </c>
    </row>
    <row r="2" spans="1:17" ht="16.5">
      <c r="A2" s="12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28"/>
      <c r="C2" s="128"/>
      <c r="D2" s="128"/>
      <c r="E2" s="128"/>
      <c r="F2" s="128"/>
      <c r="G2" s="39"/>
      <c r="H2" s="40"/>
      <c r="I2" s="41">
        <v>50400</v>
      </c>
      <c r="J2" s="37">
        <v>2023</v>
      </c>
      <c r="K2" s="37"/>
      <c r="P2" s="52"/>
      <c r="Q2" s="52"/>
    </row>
    <row r="3" spans="1:17" ht="99.7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(ноябрь)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5"/>
      <c r="L3" s="35"/>
      <c r="M3" s="35"/>
      <c r="N3" s="35"/>
      <c r="O3" s="35"/>
      <c r="P3" s="35"/>
      <c r="Q3" s="35"/>
    </row>
    <row r="4" spans="1:17" ht="16.5">
      <c r="A4" s="69" t="s">
        <v>2</v>
      </c>
      <c r="B4" s="79">
        <v>0</v>
      </c>
      <c r="C4" s="80">
        <v>0</v>
      </c>
      <c r="D4" s="81">
        <f>_xlfn.IFERROR(G4/B4*1000,0)</f>
        <v>0</v>
      </c>
      <c r="E4" s="81">
        <f>_xlfn.IFERROR(I4/C4/$K$1*1000,0)</f>
        <v>0</v>
      </c>
      <c r="F4" s="82">
        <f>_xlfn.IFERROR(E4/$I$2*100,0)</f>
        <v>0</v>
      </c>
      <c r="G4" s="80">
        <v>0</v>
      </c>
      <c r="H4" s="80">
        <v>0</v>
      </c>
      <c r="I4" s="83"/>
      <c r="J4" s="89"/>
      <c r="K4" s="42"/>
      <c r="L4" s="57"/>
      <c r="M4" s="57"/>
      <c r="N4" s="57"/>
      <c r="O4" s="57"/>
      <c r="P4" s="42"/>
      <c r="Q4" s="42"/>
    </row>
    <row r="5" spans="1:17" ht="16.5">
      <c r="A5" s="69" t="s">
        <v>3</v>
      </c>
      <c r="B5" s="79">
        <v>0</v>
      </c>
      <c r="C5" s="80">
        <v>0</v>
      </c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82">
        <f aca="true" t="shared" si="2" ref="F5:F20">_xlfn.IFERROR(E5/$I$2*100,0)</f>
        <v>0</v>
      </c>
      <c r="G5" s="80">
        <v>0</v>
      </c>
      <c r="H5" s="80">
        <v>0</v>
      </c>
      <c r="I5" s="83"/>
      <c r="J5" s="89"/>
      <c r="K5" s="42"/>
      <c r="L5" s="57"/>
      <c r="M5" s="57"/>
      <c r="N5" s="57"/>
      <c r="O5" s="57"/>
      <c r="P5" s="42"/>
      <c r="Q5" s="42"/>
    </row>
    <row r="6" spans="1:17" ht="16.5">
      <c r="A6" s="69" t="s">
        <v>4</v>
      </c>
      <c r="B6" s="79">
        <v>0</v>
      </c>
      <c r="C6" s="80">
        <v>0</v>
      </c>
      <c r="D6" s="81">
        <f t="shared" si="0"/>
        <v>0</v>
      </c>
      <c r="E6" s="81">
        <f t="shared" si="1"/>
        <v>0</v>
      </c>
      <c r="F6" s="82">
        <f t="shared" si="2"/>
        <v>0</v>
      </c>
      <c r="G6" s="80">
        <v>0</v>
      </c>
      <c r="H6" s="80">
        <v>0</v>
      </c>
      <c r="I6" s="83"/>
      <c r="J6" s="89"/>
      <c r="K6" s="42"/>
      <c r="L6" s="57"/>
      <c r="M6" s="57"/>
      <c r="N6" s="57"/>
      <c r="O6" s="57"/>
      <c r="P6" s="42"/>
      <c r="Q6" s="42"/>
    </row>
    <row r="7" spans="1:17" ht="16.5">
      <c r="A7" s="69" t="s">
        <v>6</v>
      </c>
      <c r="B7" s="79">
        <v>0</v>
      </c>
      <c r="C7" s="80">
        <v>0</v>
      </c>
      <c r="D7" s="81">
        <f t="shared" si="0"/>
        <v>0</v>
      </c>
      <c r="E7" s="81">
        <f t="shared" si="1"/>
        <v>0</v>
      </c>
      <c r="F7" s="82">
        <f t="shared" si="2"/>
        <v>0</v>
      </c>
      <c r="G7" s="80">
        <v>0</v>
      </c>
      <c r="H7" s="80">
        <v>0</v>
      </c>
      <c r="I7" s="83"/>
      <c r="J7" s="89"/>
      <c r="K7" s="42"/>
      <c r="L7" s="57"/>
      <c r="M7" s="57"/>
      <c r="N7" s="57"/>
      <c r="O7" s="57"/>
      <c r="P7" s="42"/>
      <c r="Q7" s="42"/>
    </row>
    <row r="8" spans="1:17" ht="16.5">
      <c r="A8" s="69" t="s">
        <v>7</v>
      </c>
      <c r="B8" s="83">
        <v>0</v>
      </c>
      <c r="C8" s="80">
        <v>0</v>
      </c>
      <c r="D8" s="81">
        <f t="shared" si="0"/>
        <v>0</v>
      </c>
      <c r="E8" s="81">
        <f t="shared" si="1"/>
        <v>0</v>
      </c>
      <c r="F8" s="82">
        <f t="shared" si="2"/>
        <v>0</v>
      </c>
      <c r="G8" s="80">
        <v>0</v>
      </c>
      <c r="H8" s="80">
        <v>0</v>
      </c>
      <c r="I8" s="83"/>
      <c r="J8" s="89"/>
      <c r="K8" s="42"/>
      <c r="L8" s="57"/>
      <c r="M8" s="57"/>
      <c r="N8" s="57"/>
      <c r="O8" s="57"/>
      <c r="P8" s="42"/>
      <c r="Q8" s="42"/>
    </row>
    <row r="9" spans="1:18" s="44" customFormat="1" ht="16.5">
      <c r="A9" s="69" t="s">
        <v>8</v>
      </c>
      <c r="B9" s="83">
        <v>0</v>
      </c>
      <c r="C9" s="80">
        <v>0</v>
      </c>
      <c r="D9" s="81">
        <f t="shared" si="0"/>
        <v>0</v>
      </c>
      <c r="E9" s="81">
        <f t="shared" si="1"/>
        <v>0</v>
      </c>
      <c r="F9" s="82">
        <f t="shared" si="2"/>
        <v>0</v>
      </c>
      <c r="G9" s="80">
        <v>0</v>
      </c>
      <c r="H9" s="80">
        <v>0</v>
      </c>
      <c r="I9" s="83"/>
      <c r="J9" s="89"/>
      <c r="K9" s="42"/>
      <c r="L9" s="57"/>
      <c r="M9" s="57"/>
      <c r="N9" s="57"/>
      <c r="O9" s="57"/>
      <c r="P9" s="42"/>
      <c r="Q9" s="42"/>
      <c r="R9" s="49"/>
    </row>
    <row r="10" spans="1:17" ht="16.5">
      <c r="A10" s="69" t="s">
        <v>9</v>
      </c>
      <c r="B10" s="83">
        <v>0</v>
      </c>
      <c r="C10" s="80">
        <v>0</v>
      </c>
      <c r="D10" s="81">
        <f t="shared" si="0"/>
        <v>0</v>
      </c>
      <c r="E10" s="81">
        <f t="shared" si="1"/>
        <v>0</v>
      </c>
      <c r="F10" s="82">
        <f t="shared" si="2"/>
        <v>0</v>
      </c>
      <c r="G10" s="80">
        <v>0</v>
      </c>
      <c r="H10" s="80">
        <v>0</v>
      </c>
      <c r="I10" s="83"/>
      <c r="J10" s="89"/>
      <c r="K10" s="42"/>
      <c r="L10" s="57"/>
      <c r="M10" s="57"/>
      <c r="N10" s="57"/>
      <c r="O10" s="57"/>
      <c r="P10" s="42"/>
      <c r="Q10" s="42"/>
    </row>
    <row r="11" spans="1:17" ht="16.5">
      <c r="A11" s="69" t="s">
        <v>10</v>
      </c>
      <c r="B11" s="83">
        <v>0</v>
      </c>
      <c r="C11" s="80">
        <v>0</v>
      </c>
      <c r="D11" s="81">
        <f t="shared" si="0"/>
        <v>0</v>
      </c>
      <c r="E11" s="81">
        <f t="shared" si="1"/>
        <v>0</v>
      </c>
      <c r="F11" s="82">
        <f t="shared" si="2"/>
        <v>0</v>
      </c>
      <c r="G11" s="80">
        <v>0</v>
      </c>
      <c r="H11" s="80">
        <v>0</v>
      </c>
      <c r="I11" s="83"/>
      <c r="J11" s="89"/>
      <c r="K11" s="42"/>
      <c r="L11" s="57"/>
      <c r="M11" s="57"/>
      <c r="N11" s="57"/>
      <c r="O11" s="57"/>
      <c r="P11" s="42"/>
      <c r="Q11" s="42"/>
    </row>
    <row r="12" spans="1:18" s="44" customFormat="1" ht="16.5">
      <c r="A12" s="70" t="s">
        <v>11</v>
      </c>
      <c r="B12" s="84">
        <v>0</v>
      </c>
      <c r="C12" s="80">
        <v>0</v>
      </c>
      <c r="D12" s="81">
        <f t="shared" si="0"/>
        <v>0</v>
      </c>
      <c r="E12" s="81">
        <f t="shared" si="1"/>
        <v>0</v>
      </c>
      <c r="F12" s="82">
        <f t="shared" si="2"/>
        <v>0</v>
      </c>
      <c r="G12" s="80">
        <v>0</v>
      </c>
      <c r="H12" s="80">
        <v>0</v>
      </c>
      <c r="I12" s="83"/>
      <c r="J12" s="89"/>
      <c r="K12" s="42"/>
      <c r="L12" s="57"/>
      <c r="M12" s="57"/>
      <c r="N12" s="57"/>
      <c r="O12" s="57"/>
      <c r="P12" s="42"/>
      <c r="Q12" s="42"/>
      <c r="R12" s="49"/>
    </row>
    <row r="13" spans="1:18" s="45" customFormat="1" ht="16.5">
      <c r="A13" s="69" t="s">
        <v>12</v>
      </c>
      <c r="B13" s="83">
        <v>0</v>
      </c>
      <c r="C13" s="80">
        <v>0</v>
      </c>
      <c r="D13" s="81">
        <f t="shared" si="0"/>
        <v>0</v>
      </c>
      <c r="E13" s="81">
        <f t="shared" si="1"/>
        <v>0</v>
      </c>
      <c r="F13" s="82">
        <f t="shared" si="2"/>
        <v>0</v>
      </c>
      <c r="G13" s="80">
        <v>0</v>
      </c>
      <c r="H13" s="80">
        <v>0</v>
      </c>
      <c r="I13" s="83"/>
      <c r="J13" s="89"/>
      <c r="K13" s="42"/>
      <c r="L13" s="57"/>
      <c r="M13" s="57"/>
      <c r="N13" s="57"/>
      <c r="O13" s="57"/>
      <c r="P13" s="42"/>
      <c r="Q13" s="42"/>
      <c r="R13" s="123"/>
    </row>
    <row r="14" spans="1:18" s="44" customFormat="1" ht="30">
      <c r="A14" s="70" t="s">
        <v>13</v>
      </c>
      <c r="B14" s="84">
        <v>0</v>
      </c>
      <c r="C14" s="80">
        <v>0</v>
      </c>
      <c r="D14" s="81">
        <f>_xlfn.IFERROR(G14/B14*1000,0)</f>
        <v>0</v>
      </c>
      <c r="E14" s="81">
        <f t="shared" si="1"/>
        <v>0</v>
      </c>
      <c r="F14" s="82">
        <f t="shared" si="2"/>
        <v>0</v>
      </c>
      <c r="G14" s="80">
        <v>0</v>
      </c>
      <c r="H14" s="80">
        <v>0</v>
      </c>
      <c r="I14" s="83"/>
      <c r="J14" s="89"/>
      <c r="K14" s="42"/>
      <c r="L14" s="57"/>
      <c r="M14" s="57"/>
      <c r="N14" s="57"/>
      <c r="O14" s="57"/>
      <c r="P14" s="42"/>
      <c r="Q14" s="42"/>
      <c r="R14" s="49"/>
    </row>
    <row r="15" spans="1:18" s="44" customFormat="1" ht="16.5">
      <c r="A15" s="69" t="s">
        <v>14</v>
      </c>
      <c r="B15" s="83">
        <v>0</v>
      </c>
      <c r="C15" s="80">
        <v>0</v>
      </c>
      <c r="D15" s="81">
        <f t="shared" si="0"/>
        <v>0</v>
      </c>
      <c r="E15" s="81">
        <f t="shared" si="1"/>
        <v>0</v>
      </c>
      <c r="F15" s="82">
        <f t="shared" si="2"/>
        <v>0</v>
      </c>
      <c r="G15" s="80">
        <v>0</v>
      </c>
      <c r="H15" s="80">
        <v>0</v>
      </c>
      <c r="I15" s="83"/>
      <c r="J15" s="89"/>
      <c r="K15" s="42"/>
      <c r="L15" s="57"/>
      <c r="M15" s="57"/>
      <c r="N15" s="57"/>
      <c r="O15" s="57"/>
      <c r="P15" s="42"/>
      <c r="Q15" s="42"/>
      <c r="R15" s="49"/>
    </row>
    <row r="16" spans="1:18" s="44" customFormat="1" ht="16.5">
      <c r="A16" s="71" t="s">
        <v>65</v>
      </c>
      <c r="B16" s="83">
        <v>37</v>
      </c>
      <c r="C16" s="80">
        <v>35</v>
      </c>
      <c r="D16" s="81">
        <f t="shared" si="0"/>
        <v>50399.99999999998</v>
      </c>
      <c r="E16" s="81">
        <f t="shared" si="1"/>
        <v>50400</v>
      </c>
      <c r="F16" s="82">
        <f t="shared" si="2"/>
        <v>100</v>
      </c>
      <c r="G16" s="80">
        <v>1864.7999999999993</v>
      </c>
      <c r="H16" s="80">
        <v>0</v>
      </c>
      <c r="I16" s="83">
        <v>19404</v>
      </c>
      <c r="J16" s="89">
        <v>7.8</v>
      </c>
      <c r="K16" s="42"/>
      <c r="L16" s="57"/>
      <c r="M16" s="57"/>
      <c r="N16" s="57"/>
      <c r="O16" s="57"/>
      <c r="P16" s="42"/>
      <c r="Q16" s="42"/>
      <c r="R16" s="49"/>
    </row>
    <row r="17" spans="1:18" s="44" customFormat="1" ht="16.5">
      <c r="A17" s="69" t="s">
        <v>66</v>
      </c>
      <c r="B17" s="83">
        <v>0</v>
      </c>
      <c r="C17" s="80">
        <v>0</v>
      </c>
      <c r="D17" s="81">
        <f t="shared" si="0"/>
        <v>0</v>
      </c>
      <c r="E17" s="81">
        <f t="shared" si="1"/>
        <v>0</v>
      </c>
      <c r="F17" s="82">
        <f t="shared" si="2"/>
        <v>0</v>
      </c>
      <c r="G17" s="80">
        <v>0</v>
      </c>
      <c r="H17" s="80">
        <v>0</v>
      </c>
      <c r="I17" s="83"/>
      <c r="J17" s="89"/>
      <c r="K17" s="42"/>
      <c r="L17" s="57"/>
      <c r="M17" s="57"/>
      <c r="N17" s="57"/>
      <c r="O17" s="57"/>
      <c r="P17" s="42"/>
      <c r="Q17" s="42"/>
      <c r="R17" s="49"/>
    </row>
    <row r="18" spans="1:17" ht="16.5">
      <c r="A18" s="69" t="s">
        <v>16</v>
      </c>
      <c r="B18" s="83">
        <v>0</v>
      </c>
      <c r="C18" s="80">
        <v>0</v>
      </c>
      <c r="D18" s="81">
        <f t="shared" si="0"/>
        <v>0</v>
      </c>
      <c r="E18" s="81">
        <f t="shared" si="1"/>
        <v>0</v>
      </c>
      <c r="F18" s="82">
        <f t="shared" si="2"/>
        <v>0</v>
      </c>
      <c r="G18" s="80">
        <v>0</v>
      </c>
      <c r="H18" s="80">
        <v>0</v>
      </c>
      <c r="I18" s="83"/>
      <c r="J18" s="89"/>
      <c r="K18" s="42"/>
      <c r="L18" s="57"/>
      <c r="M18" s="57"/>
      <c r="N18" s="57"/>
      <c r="O18" s="57"/>
      <c r="P18" s="42"/>
      <c r="Q18" s="42"/>
    </row>
    <row r="19" spans="1:17" ht="16.5">
      <c r="A19" s="69" t="s">
        <v>17</v>
      </c>
      <c r="B19" s="83">
        <v>0</v>
      </c>
      <c r="C19" s="80">
        <v>0</v>
      </c>
      <c r="D19" s="81">
        <f t="shared" si="0"/>
        <v>0</v>
      </c>
      <c r="E19" s="81">
        <f t="shared" si="1"/>
        <v>0</v>
      </c>
      <c r="F19" s="82">
        <f t="shared" si="2"/>
        <v>0</v>
      </c>
      <c r="G19" s="80">
        <v>0</v>
      </c>
      <c r="H19" s="80">
        <v>0</v>
      </c>
      <c r="I19" s="83"/>
      <c r="J19" s="89"/>
      <c r="K19" s="42"/>
      <c r="L19" s="57"/>
      <c r="M19" s="57"/>
      <c r="N19" s="57"/>
      <c r="O19" s="57"/>
      <c r="P19" s="42"/>
      <c r="Q19" s="42"/>
    </row>
    <row r="20" spans="1:17" ht="16.5">
      <c r="A20" s="72" t="s">
        <v>67</v>
      </c>
      <c r="B20" s="85">
        <v>0</v>
      </c>
      <c r="C20" s="80">
        <v>0</v>
      </c>
      <c r="D20" s="87">
        <f t="shared" si="0"/>
        <v>0</v>
      </c>
      <c r="E20" s="81">
        <f t="shared" si="1"/>
        <v>0</v>
      </c>
      <c r="F20" s="82">
        <f t="shared" si="2"/>
        <v>0</v>
      </c>
      <c r="G20" s="86">
        <v>0</v>
      </c>
      <c r="H20" s="86">
        <v>0</v>
      </c>
      <c r="I20" s="85"/>
      <c r="J20" s="90"/>
      <c r="K20" s="42"/>
      <c r="L20" s="57"/>
      <c r="M20" s="57"/>
      <c r="N20" s="57"/>
      <c r="O20" s="57"/>
      <c r="P20" s="42"/>
      <c r="Q20" s="42"/>
    </row>
    <row r="21" spans="1:18" s="47" customFormat="1" ht="26.25" customHeight="1">
      <c r="A21" s="73" t="s">
        <v>45</v>
      </c>
      <c r="B21" s="92">
        <f>SUM(B4:B20)</f>
        <v>37</v>
      </c>
      <c r="C21" s="92">
        <f>SUM(C4:C20)</f>
        <v>35</v>
      </c>
      <c r="D21" s="92">
        <f>_xlfn.IFERROR(G21/B21*1000,0)</f>
        <v>50399.99999999998</v>
      </c>
      <c r="E21" s="92">
        <f>_xlfn.IFERROR(I21/C21/$K$1*1000,0)</f>
        <v>50400</v>
      </c>
      <c r="F21" s="93">
        <f>_xlfn.IFERROR(E21/$I$2*100,0)</f>
        <v>100</v>
      </c>
      <c r="G21" s="92">
        <f>SUM(G4:G20)</f>
        <v>1864.7999999999993</v>
      </c>
      <c r="H21" s="92">
        <f>SUM(H4:H20)</f>
        <v>0</v>
      </c>
      <c r="I21" s="92">
        <f>SUM(I4:I20)</f>
        <v>19404</v>
      </c>
      <c r="J21" s="92">
        <f>SUM(J4:J20)</f>
        <v>7.8</v>
      </c>
      <c r="K21" s="46"/>
      <c r="L21" s="46"/>
      <c r="M21" s="46"/>
      <c r="N21" s="46"/>
      <c r="O21" s="121"/>
      <c r="P21" s="68"/>
      <c r="Q21" s="68"/>
      <c r="R21" s="124"/>
    </row>
    <row r="22" spans="1:14" ht="16.5">
      <c r="A22" s="69" t="s">
        <v>76</v>
      </c>
      <c r="B22" s="85">
        <v>14</v>
      </c>
      <c r="C22" s="86">
        <v>13.5</v>
      </c>
      <c r="D22" s="87">
        <f>_xlfn.IFERROR(G22/B22*1000,0)</f>
        <v>52500</v>
      </c>
      <c r="E22" s="81">
        <f>_xlfn.IFERROR(I22/C22/$K$1*1000,0)</f>
        <v>54385.18518518518</v>
      </c>
      <c r="F22" s="82">
        <f>_xlfn.IFERROR(E22/$I$2*100,0)</f>
        <v>107.90711346266902</v>
      </c>
      <c r="G22" s="86">
        <v>735</v>
      </c>
      <c r="H22" s="86">
        <v>0</v>
      </c>
      <c r="I22" s="85">
        <v>8076.2</v>
      </c>
      <c r="J22" s="85"/>
      <c r="L22" s="50"/>
      <c r="N22" s="50"/>
    </row>
    <row r="23" spans="1:14" ht="16.5">
      <c r="A23" s="69" t="s">
        <v>77</v>
      </c>
      <c r="B23" s="85">
        <v>19</v>
      </c>
      <c r="C23" s="86">
        <v>19.4</v>
      </c>
      <c r="D23" s="87">
        <f aca="true" t="shared" si="3" ref="D23:D31">_xlfn.IFERROR(G23/B23*1000,0)</f>
        <v>60373.68421052631</v>
      </c>
      <c r="E23" s="81">
        <f aca="true" t="shared" si="4" ref="E23:E31">_xlfn.IFERROR(I23/C23/$K$1*1000,0)</f>
        <v>63544.985941893174</v>
      </c>
      <c r="F23" s="82">
        <f aca="true" t="shared" si="5" ref="F23:F31">_xlfn.IFERROR(E23/$I$2*100,0)</f>
        <v>126.08132131328011</v>
      </c>
      <c r="G23" s="86">
        <v>1147.1</v>
      </c>
      <c r="H23" s="86">
        <v>0</v>
      </c>
      <c r="I23" s="85">
        <v>13560.500000000002</v>
      </c>
      <c r="J23" s="85"/>
      <c r="L23" s="50"/>
      <c r="N23" s="50"/>
    </row>
    <row r="24" spans="1:14" ht="30">
      <c r="A24" s="69" t="s">
        <v>78</v>
      </c>
      <c r="B24" s="85">
        <v>23</v>
      </c>
      <c r="C24" s="86">
        <v>27.6</v>
      </c>
      <c r="D24" s="87">
        <f t="shared" si="3"/>
        <v>51895.65217391304</v>
      </c>
      <c r="E24" s="81">
        <f t="shared" si="4"/>
        <v>53269.10408432148</v>
      </c>
      <c r="F24" s="82">
        <f t="shared" si="5"/>
        <v>105.69266683397119</v>
      </c>
      <c r="G24" s="86">
        <v>1193.6</v>
      </c>
      <c r="H24" s="86">
        <v>0</v>
      </c>
      <c r="I24" s="85">
        <v>16172.500000000002</v>
      </c>
      <c r="J24" s="85"/>
      <c r="L24" s="50"/>
      <c r="N24" s="50"/>
    </row>
    <row r="25" spans="1:14" ht="16.5">
      <c r="A25" s="69" t="s">
        <v>79</v>
      </c>
      <c r="B25" s="85">
        <v>10</v>
      </c>
      <c r="C25" s="86">
        <v>9.9</v>
      </c>
      <c r="D25" s="87">
        <f t="shared" si="3"/>
        <v>60360</v>
      </c>
      <c r="E25" s="81">
        <f t="shared" si="4"/>
        <v>65226.813590449965</v>
      </c>
      <c r="F25" s="82">
        <f t="shared" si="5"/>
        <v>129.41828093343247</v>
      </c>
      <c r="G25" s="86">
        <v>603.6</v>
      </c>
      <c r="H25" s="86">
        <v>0</v>
      </c>
      <c r="I25" s="85">
        <v>7103.200000000002</v>
      </c>
      <c r="J25" s="85"/>
      <c r="L25" s="50"/>
      <c r="N25" s="50"/>
    </row>
    <row r="26" spans="1:14" ht="16.5">
      <c r="A26" s="69" t="s">
        <v>80</v>
      </c>
      <c r="B26" s="85">
        <v>17.3</v>
      </c>
      <c r="C26" s="86">
        <v>16.6</v>
      </c>
      <c r="D26" s="87">
        <f t="shared" si="3"/>
        <v>53387.28323699422</v>
      </c>
      <c r="E26" s="81">
        <f t="shared" si="4"/>
        <v>56612.81489594742</v>
      </c>
      <c r="F26" s="82">
        <f t="shared" si="5"/>
        <v>112.32701368243536</v>
      </c>
      <c r="G26" s="86">
        <v>923.6</v>
      </c>
      <c r="H26" s="86">
        <v>0</v>
      </c>
      <c r="I26" s="85">
        <v>10337.5</v>
      </c>
      <c r="J26" s="85"/>
      <c r="L26" s="50"/>
      <c r="N26" s="50"/>
    </row>
    <row r="27" spans="1:14" ht="16.5">
      <c r="A27" s="69" t="s">
        <v>81</v>
      </c>
      <c r="B27" s="85">
        <v>17</v>
      </c>
      <c r="C27" s="86">
        <v>16.8</v>
      </c>
      <c r="D27" s="87">
        <f t="shared" si="3"/>
        <v>57747.05882352941</v>
      </c>
      <c r="E27" s="81">
        <f t="shared" si="4"/>
        <v>62022.943722943724</v>
      </c>
      <c r="F27" s="82">
        <f t="shared" si="5"/>
        <v>123.061396275682</v>
      </c>
      <c r="G27" s="86">
        <v>981.7</v>
      </c>
      <c r="H27" s="86">
        <v>0</v>
      </c>
      <c r="I27" s="85">
        <v>11461.84</v>
      </c>
      <c r="J27" s="85"/>
      <c r="L27" s="50"/>
      <c r="N27" s="50"/>
    </row>
    <row r="28" spans="1:14" ht="16.5">
      <c r="A28" s="69" t="s">
        <v>82</v>
      </c>
      <c r="B28" s="85">
        <v>13</v>
      </c>
      <c r="C28" s="86">
        <v>13.2</v>
      </c>
      <c r="D28" s="87">
        <f t="shared" si="3"/>
        <v>54992.30769230769</v>
      </c>
      <c r="E28" s="81">
        <f t="shared" si="4"/>
        <v>54676.308539944905</v>
      </c>
      <c r="F28" s="82">
        <f t="shared" si="5"/>
        <v>108.48473916655735</v>
      </c>
      <c r="G28" s="86">
        <v>714.9</v>
      </c>
      <c r="H28" s="86">
        <v>0</v>
      </c>
      <c r="I28" s="85">
        <v>7939</v>
      </c>
      <c r="J28" s="85"/>
      <c r="L28" s="50"/>
      <c r="N28" s="50"/>
    </row>
    <row r="29" spans="1:14" ht="16.5">
      <c r="A29" s="69" t="s">
        <v>83</v>
      </c>
      <c r="B29" s="85">
        <v>28</v>
      </c>
      <c r="C29" s="86">
        <v>29.8</v>
      </c>
      <c r="D29" s="87">
        <f t="shared" si="3"/>
        <v>50753.57142857143</v>
      </c>
      <c r="E29" s="81">
        <f t="shared" si="4"/>
        <v>54045.14948139108</v>
      </c>
      <c r="F29" s="82">
        <f t="shared" si="5"/>
        <v>107.23243944720453</v>
      </c>
      <c r="G29" s="86">
        <v>1421.1</v>
      </c>
      <c r="H29" s="86">
        <v>0</v>
      </c>
      <c r="I29" s="85">
        <v>17716</v>
      </c>
      <c r="J29" s="85"/>
      <c r="L29" s="50"/>
      <c r="N29" s="50"/>
    </row>
    <row r="30" spans="1:14" ht="16.5">
      <c r="A30" s="69" t="s">
        <v>84</v>
      </c>
      <c r="B30" s="85">
        <v>12</v>
      </c>
      <c r="C30" s="86">
        <v>11</v>
      </c>
      <c r="D30" s="87">
        <f t="shared" si="3"/>
        <v>49008.333333333336</v>
      </c>
      <c r="E30" s="81">
        <f>_xlfn.IFERROR(I30/C30/$K$1*1000,0)</f>
        <v>55003.30578512398</v>
      </c>
      <c r="F30" s="82">
        <f>_xlfn.IFERROR(E30/$I$2*100,0)</f>
        <v>109.13354322445234</v>
      </c>
      <c r="G30" s="86">
        <v>588.1</v>
      </c>
      <c r="H30" s="86">
        <v>0</v>
      </c>
      <c r="I30" s="85">
        <v>6655.400000000001</v>
      </c>
      <c r="J30" s="85"/>
      <c r="L30" s="50"/>
      <c r="N30" s="50"/>
    </row>
    <row r="31" spans="1:14" ht="16.5">
      <c r="A31" s="69" t="s">
        <v>85</v>
      </c>
      <c r="B31" s="85">
        <v>17.5</v>
      </c>
      <c r="C31" s="86">
        <v>19.2</v>
      </c>
      <c r="D31" s="87">
        <f t="shared" si="3"/>
        <v>49731.428571428565</v>
      </c>
      <c r="E31" s="81">
        <f t="shared" si="4"/>
        <v>55950.56818181819</v>
      </c>
      <c r="F31" s="82">
        <f t="shared" si="5"/>
        <v>111.01303210678213</v>
      </c>
      <c r="G31" s="86">
        <v>870.3</v>
      </c>
      <c r="H31" s="86">
        <v>0</v>
      </c>
      <c r="I31" s="85">
        <v>11816.76</v>
      </c>
      <c r="J31" s="85"/>
      <c r="L31" s="50"/>
      <c r="N31" s="50"/>
    </row>
    <row r="32" spans="1:13" ht="16.5">
      <c r="A32" s="73" t="s">
        <v>45</v>
      </c>
      <c r="B32" s="97">
        <f>SUM(B22:B31)</f>
        <v>170.8</v>
      </c>
      <c r="C32" s="97">
        <f>SUM(C22:C31)</f>
        <v>177</v>
      </c>
      <c r="D32" s="97">
        <f aca="true" t="shared" si="6" ref="D32:D37">_xlfn.IFERROR(G32/B32*1000,0)</f>
        <v>53741.21779859483</v>
      </c>
      <c r="E32" s="97">
        <f aca="true" t="shared" si="7" ref="E32:E37">_xlfn.IFERROR(I32/C32/$K$1*1000,0)</f>
        <v>56928.04314329737</v>
      </c>
      <c r="F32" s="98">
        <f>_xlfn.IFERROR(E32/$I$2*100,0)</f>
        <v>112.95246655416145</v>
      </c>
      <c r="G32" s="97">
        <f>SUM(G22:G31)</f>
        <v>9178.999999999998</v>
      </c>
      <c r="H32" s="97">
        <f>SUM(H22:H31)</f>
        <v>0</v>
      </c>
      <c r="I32" s="97">
        <f>SUM(I22:I31)</f>
        <v>110838.9</v>
      </c>
      <c r="J32" s="97">
        <f>SUM(J22:J31)</f>
        <v>0</v>
      </c>
      <c r="L32" s="50"/>
      <c r="M32" s="50"/>
    </row>
    <row r="33" spans="1:10" ht="16.5">
      <c r="A33" s="77" t="s">
        <v>47</v>
      </c>
      <c r="B33" s="97">
        <f>B21+B32</f>
        <v>207.8</v>
      </c>
      <c r="C33" s="97">
        <f>C21+C32</f>
        <v>212</v>
      </c>
      <c r="D33" s="97">
        <f t="shared" si="6"/>
        <v>53146.29451395571</v>
      </c>
      <c r="E33" s="97">
        <f t="shared" si="7"/>
        <v>55850.300171526585</v>
      </c>
      <c r="F33" s="98">
        <f>_xlfn.IFERROR(E33/$I$2*100,0)</f>
        <v>110.81408764191782</v>
      </c>
      <c r="G33" s="97">
        <f>G21+G32</f>
        <v>11043.799999999997</v>
      </c>
      <c r="H33" s="97">
        <f>H11+H22+H32</f>
        <v>0</v>
      </c>
      <c r="I33" s="97">
        <f>I21+I32</f>
        <v>130242.9</v>
      </c>
      <c r="J33" s="97">
        <f>J21+J32</f>
        <v>7.8</v>
      </c>
    </row>
    <row r="34" spans="1:18" ht="64.5" customHeight="1" thickBot="1">
      <c r="A34" s="62" t="s">
        <v>86</v>
      </c>
      <c r="B34" s="114">
        <v>43.6</v>
      </c>
      <c r="C34" s="114">
        <v>44.6</v>
      </c>
      <c r="D34" s="115">
        <f t="shared" si="6"/>
        <v>51777.52293577975</v>
      </c>
      <c r="E34" s="115">
        <f t="shared" si="7"/>
        <v>51270.892784345706</v>
      </c>
      <c r="F34" s="114">
        <f>_xlfn.IFERROR(E34/$I$2*100,0)</f>
        <v>101.72796187370179</v>
      </c>
      <c r="G34" s="114">
        <v>2257.4999999999973</v>
      </c>
      <c r="H34" s="114">
        <v>0</v>
      </c>
      <c r="I34" s="114">
        <v>25153.5</v>
      </c>
      <c r="J34" s="114">
        <v>0</v>
      </c>
      <c r="M34" s="49" t="s">
        <v>95</v>
      </c>
      <c r="N34" s="49" t="s">
        <v>97</v>
      </c>
      <c r="O34" s="49" t="s">
        <v>93</v>
      </c>
      <c r="P34" s="49" t="s">
        <v>96</v>
      </c>
      <c r="Q34" s="49" t="s">
        <v>94</v>
      </c>
      <c r="R34" s="49"/>
    </row>
    <row r="35" spans="1:18" ht="32.25" thickBot="1">
      <c r="A35" s="116" t="s">
        <v>98</v>
      </c>
      <c r="B35" s="117">
        <f>B33+B34</f>
        <v>251.4</v>
      </c>
      <c r="C35" s="117">
        <f>C33+C34</f>
        <v>256.6</v>
      </c>
      <c r="D35" s="118">
        <f t="shared" si="6"/>
        <v>52908.91010342082</v>
      </c>
      <c r="E35" s="118">
        <f t="shared" si="7"/>
        <v>55054.34705590589</v>
      </c>
      <c r="F35" s="119">
        <f>E35/$I$2*100</f>
        <v>109.23481558711485</v>
      </c>
      <c r="G35" s="117">
        <f>G33+G34</f>
        <v>13301.299999999996</v>
      </c>
      <c r="H35" s="117">
        <f>H33+H34</f>
        <v>0</v>
      </c>
      <c r="I35" s="117">
        <f>I33+I34</f>
        <v>155396.4</v>
      </c>
      <c r="J35" s="117">
        <f>J33+J34</f>
        <v>7.8</v>
      </c>
      <c r="L35" s="36" t="s">
        <v>87</v>
      </c>
      <c r="M35" s="50">
        <f>ВРАЧИ!J45*1.302</f>
        <v>269.7744</v>
      </c>
      <c r="N35" s="50">
        <f>359.8728*0.9</f>
        <v>323.88552</v>
      </c>
      <c r="O35" s="50">
        <f>M35+N35</f>
        <v>593.65992</v>
      </c>
      <c r="P35" s="50">
        <v>451.01279999999997</v>
      </c>
      <c r="Q35" s="50">
        <f>O35-P35</f>
        <v>142.6471200000001</v>
      </c>
      <c r="R35" s="50">
        <f>O35/P35*100-100</f>
        <v>31.628175519630503</v>
      </c>
    </row>
    <row r="36" spans="1:18" ht="24" customHeight="1">
      <c r="A36" s="120" t="s">
        <v>75</v>
      </c>
      <c r="B36" s="80">
        <v>31.9</v>
      </c>
      <c r="C36" s="80">
        <v>30.1</v>
      </c>
      <c r="D36" s="80">
        <f t="shared" si="6"/>
        <v>70416.92789968653</v>
      </c>
      <c r="E36" s="80">
        <f t="shared" si="7"/>
        <v>76671.09634551495</v>
      </c>
      <c r="F36" s="99">
        <f>_xlfn.IFERROR(E36/$I$2*100,0)</f>
        <v>152.12519116173598</v>
      </c>
      <c r="G36" s="80">
        <v>2246.3</v>
      </c>
      <c r="H36" s="80">
        <v>0</v>
      </c>
      <c r="I36" s="80">
        <v>25385.8</v>
      </c>
      <c r="J36" s="80">
        <v>302.2</v>
      </c>
      <c r="L36" s="36" t="s">
        <v>88</v>
      </c>
      <c r="M36" s="50">
        <f>СМП!J45*1.302</f>
        <v>1968.2294940000002</v>
      </c>
      <c r="N36" s="50">
        <f>2405.04138*0.9</f>
        <v>2164.5372420000003</v>
      </c>
      <c r="O36" s="50">
        <f>M36+N36</f>
        <v>4132.7667360000005</v>
      </c>
      <c r="P36" s="50">
        <v>4177.336800000001</v>
      </c>
      <c r="Q36" s="50">
        <f>O36-P36</f>
        <v>-44.57006400000046</v>
      </c>
      <c r="R36" s="50">
        <f>O36/P36*100-100</f>
        <v>-1.0669492581972406</v>
      </c>
    </row>
    <row r="37" spans="1:18" ht="30" customHeight="1">
      <c r="A37" s="77" t="s">
        <v>47</v>
      </c>
      <c r="B37" s="97">
        <f>B33+B36</f>
        <v>239.70000000000002</v>
      </c>
      <c r="C37" s="97">
        <f>C33+C36</f>
        <v>242.1</v>
      </c>
      <c r="D37" s="97">
        <f t="shared" si="6"/>
        <v>55444.722569879006</v>
      </c>
      <c r="E37" s="97">
        <f t="shared" si="7"/>
        <v>58438.92456160113</v>
      </c>
      <c r="F37" s="98">
        <f>_xlfn.IFERROR(E37/$I$2*100,0)</f>
        <v>115.95024714603399</v>
      </c>
      <c r="G37" s="97">
        <f>G33+G36</f>
        <v>13290.099999999999</v>
      </c>
      <c r="H37" s="97">
        <f>H33+H36</f>
        <v>0</v>
      </c>
      <c r="I37" s="97">
        <f>I33+I36</f>
        <v>155628.69999999998</v>
      </c>
      <c r="J37" s="97">
        <f>J33+J36</f>
        <v>310</v>
      </c>
      <c r="L37" s="36" t="s">
        <v>89</v>
      </c>
      <c r="M37" s="50">
        <f>ММП!J44*1.302</f>
        <v>973.6876800000001</v>
      </c>
      <c r="N37" s="50">
        <f>2386.3056*0.9</f>
        <v>2147.67504</v>
      </c>
      <c r="O37" s="50">
        <f>M37+N37</f>
        <v>3121.36272</v>
      </c>
      <c r="P37" s="50">
        <v>2876.5086</v>
      </c>
      <c r="Q37" s="50">
        <f>O37-P37</f>
        <v>244.85411999999997</v>
      </c>
      <c r="R37" s="50">
        <f>O37/P37*100-100</f>
        <v>8.512198433893076</v>
      </c>
    </row>
    <row r="38" spans="12:18" ht="16.5">
      <c r="L38" s="36" t="s">
        <v>90</v>
      </c>
      <c r="M38" s="50">
        <f>'Соц.раб'!J45*1.302</f>
        <v>1459.1253600000002</v>
      </c>
      <c r="N38" s="50">
        <f>461.8194*0.9</f>
        <v>415.63746</v>
      </c>
      <c r="O38" s="50">
        <f>M38+N38</f>
        <v>1874.7628200000001</v>
      </c>
      <c r="P38" s="50">
        <v>1582.7112</v>
      </c>
      <c r="Q38" s="50">
        <f>O38-P38</f>
        <v>292.0516200000002</v>
      </c>
      <c r="R38" s="50">
        <f>O38/P38*100-100</f>
        <v>18.45261599210268</v>
      </c>
    </row>
    <row r="39" spans="12:18" ht="16.5">
      <c r="L39" s="36" t="s">
        <v>91</v>
      </c>
      <c r="M39" s="50">
        <f>J37*1.302</f>
        <v>403.62</v>
      </c>
      <c r="N39" s="50">
        <v>0</v>
      </c>
      <c r="O39" s="50">
        <f>M39+N39</f>
        <v>403.62</v>
      </c>
      <c r="P39" s="50">
        <v>0</v>
      </c>
      <c r="Q39" s="50">
        <f>O39-P39</f>
        <v>403.62</v>
      </c>
      <c r="R39" s="50"/>
    </row>
    <row r="40" spans="12:18" ht="16.5">
      <c r="L40" s="125" t="s">
        <v>92</v>
      </c>
      <c r="M40" s="126">
        <f>SUM(M35:M39)</f>
        <v>5074.436934</v>
      </c>
      <c r="N40" s="126">
        <f>SUM(N35:N39)</f>
        <v>5051.735262</v>
      </c>
      <c r="O40" s="126">
        <f>SUM(O35:O39)</f>
        <v>10126.172196000001</v>
      </c>
      <c r="P40" s="126">
        <v>9087.569400000002</v>
      </c>
      <c r="Q40" s="126">
        <f>SUM(Q35:Q39)</f>
        <v>1038.6027959999997</v>
      </c>
      <c r="R40" s="126">
        <f>O40/P40*100-100</f>
        <v>11.428829319311703</v>
      </c>
    </row>
    <row r="41" ht="16.5">
      <c r="P41" s="43"/>
    </row>
    <row r="42" spans="11:18" s="56" customFormat="1" ht="16.5">
      <c r="K42" s="55"/>
      <c r="L42" s="122"/>
      <c r="M42" s="122"/>
      <c r="N42" s="122"/>
      <c r="O42" s="122"/>
      <c r="R42" s="122"/>
    </row>
    <row r="43" spans="1:10" ht="16.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65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53</v>
      </c>
      <c r="B1">
        <v>1</v>
      </c>
    </row>
    <row r="2" spans="1:2" ht="15">
      <c r="A2" t="s">
        <v>54</v>
      </c>
      <c r="B2">
        <v>2</v>
      </c>
    </row>
    <row r="3" spans="1:2" ht="15">
      <c r="A3" t="s">
        <v>55</v>
      </c>
      <c r="B3">
        <v>3</v>
      </c>
    </row>
    <row r="4" spans="1:2" ht="15">
      <c r="A4" t="s">
        <v>56</v>
      </c>
      <c r="B4">
        <v>4</v>
      </c>
    </row>
    <row r="5" spans="1:2" ht="15">
      <c r="A5" t="s">
        <v>57</v>
      </c>
      <c r="B5">
        <v>5</v>
      </c>
    </row>
    <row r="6" spans="1:2" ht="15">
      <c r="A6" t="s">
        <v>58</v>
      </c>
      <c r="B6">
        <v>6</v>
      </c>
    </row>
    <row r="7" spans="1:2" ht="15">
      <c r="A7" t="s">
        <v>59</v>
      </c>
      <c r="B7">
        <v>7</v>
      </c>
    </row>
    <row r="8" spans="1:2" ht="15">
      <c r="A8" t="s">
        <v>60</v>
      </c>
      <c r="B8">
        <v>8</v>
      </c>
    </row>
    <row r="9" spans="1:2" ht="15">
      <c r="A9" t="s">
        <v>61</v>
      </c>
      <c r="B9">
        <v>9</v>
      </c>
    </row>
    <row r="10" spans="1:2" ht="15">
      <c r="A10" t="s">
        <v>62</v>
      </c>
      <c r="B10">
        <v>10</v>
      </c>
    </row>
    <row r="11" spans="1:2" ht="15">
      <c r="A11" t="s">
        <v>63</v>
      </c>
      <c r="B11">
        <v>11</v>
      </c>
    </row>
    <row r="12" spans="1:2" ht="15">
      <c r="A12" t="s">
        <v>64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2023-12-08T11:52:55Z</dcterms:modified>
  <cp:category/>
  <cp:version/>
  <cp:contentType/>
  <cp:contentStatus/>
</cp:coreProperties>
</file>